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sktop\Lee Work\Desktop\New Sites\New Sites 2023\Phoenix Welfare relocation\"/>
    </mc:Choice>
  </mc:AlternateContent>
  <xr:revisionPtr revIDLastSave="0" documentId="13_ncr:1_{F0A914EB-0013-4925-B129-1B6ADF76384A}" xr6:coauthVersionLast="47" xr6:coauthVersionMax="47" xr10:uidLastSave="{00000000-0000-0000-0000-000000000000}"/>
  <bookViews>
    <workbookView xWindow="28680" yWindow="-120" windowWidth="21840" windowHeight="13020" tabRatio="839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r:id="rId4"/>
    <sheet name="FIBRE BUDGET CALC" sheetId="30" r:id="rId5"/>
    <sheet name="AERIAL REQUIREMENTS" sheetId="33" r:id="rId6"/>
    <sheet name="SPLICE PLAN" sheetId="31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0" r:id="rId22"/>
    <pivotCache cacheId="1" r:id="rId23"/>
    <pivotCache cacheId="2" r:id="rId24"/>
    <pivotCache cacheId="3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4" i="9" l="1"/>
  <c r="B45" i="17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69" i="10"/>
  <c r="F267" i="23" s="1"/>
  <c r="I75" i="10"/>
  <c r="I73" i="10"/>
  <c r="I72" i="10"/>
  <c r="I98" i="10"/>
  <c r="I97" i="10"/>
  <c r="I96" i="10"/>
  <c r="I74" i="10"/>
  <c r="I89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I103" i="10"/>
  <c r="I101" i="10"/>
  <c r="I102" i="10"/>
  <c r="F91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66" i="10"/>
  <c r="F65" i="10"/>
  <c r="F64" i="10"/>
  <c r="F62" i="10"/>
  <c r="F61" i="10"/>
  <c r="F93" i="10"/>
  <c r="I90" i="10"/>
  <c r="I53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72" i="10"/>
  <c r="F71" i="10"/>
  <c r="F70" i="10"/>
  <c r="F69" i="10"/>
  <c r="F68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72" i="10"/>
  <c r="C68" i="10"/>
  <c r="F158" i="23" s="1"/>
  <c r="F67" i="10"/>
  <c r="F63" i="10"/>
  <c r="C71" i="10"/>
  <c r="C70" i="10"/>
  <c r="C67" i="10"/>
  <c r="F156" i="23" s="1"/>
  <c r="C66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67" i="10"/>
  <c r="I61" i="10"/>
  <c r="I92" i="10"/>
  <c r="I91" i="10"/>
  <c r="I93" i="10"/>
  <c r="I94" i="10"/>
  <c r="I95" i="10"/>
  <c r="I62" i="10"/>
  <c r="I63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92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81" i="10"/>
  <c r="I78" i="10"/>
  <c r="I79" i="10"/>
  <c r="I76" i="10"/>
  <c r="I80" i="10"/>
  <c r="I77" i="10"/>
  <c r="I82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7" i="10"/>
  <c r="A7" i="10" s="1"/>
  <c r="B8" i="10"/>
  <c r="A8" i="10" s="1"/>
  <c r="B9" i="10"/>
  <c r="A9" i="10" s="1"/>
  <c r="B10" i="10"/>
  <c r="A10" i="10" s="1"/>
  <c r="B11" i="10"/>
  <c r="A11" i="10" s="1"/>
  <c r="B12" i="10"/>
  <c r="A12" i="10" s="1"/>
  <c r="B13" i="10"/>
  <c r="A13" i="10" s="1"/>
  <c r="B14" i="10"/>
  <c r="A14" i="10" s="1"/>
  <c r="B15" i="10"/>
  <c r="A15" i="10" s="1"/>
  <c r="B16" i="10"/>
  <c r="A16" i="10" s="1"/>
  <c r="B17" i="10"/>
  <c r="A17" i="10" s="1"/>
  <c r="B18" i="10"/>
  <c r="A18" i="10" s="1"/>
  <c r="B19" i="10"/>
  <c r="A19" i="10" s="1"/>
  <c r="B20" i="10"/>
  <c r="A20" i="10" s="1"/>
  <c r="B21" i="10"/>
  <c r="A21" i="10" s="1"/>
  <c r="B22" i="10"/>
  <c r="A22" i="10" s="1"/>
  <c r="B23" i="10"/>
  <c r="A23" i="10" s="1"/>
  <c r="B24" i="10"/>
  <c r="A24" i="10" s="1"/>
  <c r="B25" i="10"/>
  <c r="A25" i="10" s="1"/>
  <c r="B26" i="10"/>
  <c r="A26" i="10" s="1"/>
  <c r="B27" i="10"/>
  <c r="A27" i="10" s="1"/>
  <c r="B28" i="10"/>
  <c r="A28" i="10" s="1"/>
  <c r="B29" i="10"/>
  <c r="A29" i="10" s="1"/>
  <c r="B30" i="10"/>
  <c r="A30" i="10" s="1"/>
  <c r="B31" i="10"/>
  <c r="A31" i="10" s="1"/>
  <c r="B32" i="10"/>
  <c r="A32" i="10" s="1"/>
  <c r="B33" i="10"/>
  <c r="A33" i="10" s="1"/>
  <c r="B34" i="10"/>
  <c r="A34" i="10" s="1"/>
  <c r="B35" i="10"/>
  <c r="A35" i="10" s="1"/>
  <c r="B36" i="10"/>
  <c r="A36" i="10" s="1"/>
  <c r="B37" i="10"/>
  <c r="A37" i="10" s="1"/>
  <c r="B38" i="10"/>
  <c r="A38" i="10" s="1"/>
  <c r="B39" i="10"/>
  <c r="A39" i="10" s="1"/>
  <c r="B40" i="10"/>
  <c r="A40" i="10" s="1"/>
  <c r="B41" i="10"/>
  <c r="A41" i="10" s="1"/>
  <c r="B42" i="10"/>
  <c r="A42" i="10" s="1"/>
  <c r="B43" i="10"/>
  <c r="A43" i="10" s="1"/>
  <c r="B44" i="10"/>
  <c r="A44" i="10" s="1"/>
  <c r="B45" i="10"/>
  <c r="A45" i="10" s="1"/>
  <c r="B46" i="10"/>
  <c r="A46" i="10" s="1"/>
  <c r="B47" i="10"/>
  <c r="A47" i="10" s="1"/>
  <c r="B48" i="10"/>
  <c r="A48" i="10" s="1"/>
  <c r="B49" i="10"/>
  <c r="A49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102" i="10"/>
  <c r="F103" i="10"/>
  <c r="F105" i="10"/>
  <c r="F104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AC156" i="9"/>
  <c r="Y155" i="9"/>
  <c r="Y151" i="9"/>
  <c r="AK150" i="9"/>
  <c r="Y131" i="17" s="1"/>
  <c r="AK146" i="9"/>
  <c r="Y127" i="17" s="1"/>
  <c r="AK154" i="9"/>
  <c r="Y135" i="17" s="1"/>
  <c r="Y147" i="9"/>
  <c r="Z152" i="9" l="1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6" i="9"/>
  <c r="R137" i="17" s="1"/>
  <c r="AG156" i="9"/>
  <c r="Q13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U126" i="17" l="1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110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95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65" i="10"/>
  <c r="I64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63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77" i="10"/>
  <c r="F101" i="9" s="1"/>
  <c r="C73" i="10"/>
  <c r="C65" i="10"/>
  <c r="F174" i="23" s="1"/>
  <c r="C64" i="10"/>
  <c r="F173" i="23" s="1"/>
  <c r="C62" i="10"/>
  <c r="C61" i="10"/>
  <c r="F172" i="23" s="1"/>
  <c r="C60" i="10"/>
  <c r="F171" i="23" s="1"/>
  <c r="C59" i="10"/>
  <c r="F170" i="23" s="1"/>
  <c r="C58" i="10"/>
  <c r="F165" i="23" s="1"/>
  <c r="C57" i="10"/>
  <c r="F164" i="23" s="1"/>
  <c r="C56" i="10"/>
  <c r="F163" i="23" s="1"/>
  <c r="C55" i="10"/>
  <c r="F162" i="23" s="1"/>
  <c r="C54" i="10"/>
  <c r="F161" i="23" s="1"/>
  <c r="C53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66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98" i="10"/>
  <c r="F106" i="10"/>
  <c r="F100" i="10"/>
  <c r="F99" i="10"/>
  <c r="F101" i="10"/>
  <c r="F107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110" i="10"/>
  <c r="F109" i="10"/>
  <c r="F96" i="10"/>
  <c r="F97" i="10"/>
  <c r="F108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104" i="10"/>
  <c r="I84" i="10"/>
  <c r="I109" i="10"/>
  <c r="I83" i="10"/>
  <c r="I106" i="10"/>
  <c r="I108" i="10"/>
  <c r="I111" i="10"/>
  <c r="F94" i="10"/>
  <c r="I86" i="10"/>
  <c r="F90" i="10"/>
  <c r="I107" i="10"/>
  <c r="I105" i="10"/>
  <c r="I85" i="10"/>
  <c r="I12" i="22" l="1"/>
  <c r="I10" i="22"/>
  <c r="I24" i="22"/>
  <c r="I23" i="22"/>
  <c r="I25" i="22"/>
  <c r="I87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61" i="9" l="1"/>
  <c r="F142" i="17" s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51" i="10" l="1"/>
  <c r="O51" i="10"/>
  <c r="I51" i="10"/>
  <c r="I71" i="10"/>
  <c r="I57" i="10"/>
  <c r="I54" i="10"/>
  <c r="I55" i="10"/>
  <c r="I58" i="10"/>
  <c r="I68" i="10"/>
  <c r="I59" i="10"/>
  <c r="I60" i="10"/>
  <c r="I69" i="10"/>
  <c r="I56" i="10"/>
  <c r="I70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53" i="10"/>
  <c r="F92" i="9" s="1"/>
  <c r="F54" i="10"/>
  <c r="F93" i="9" s="1"/>
  <c r="J36" i="23"/>
  <c r="N36" i="23" s="1"/>
  <c r="H36" i="23"/>
  <c r="F78" i="10"/>
  <c r="F102" i="9" s="1"/>
  <c r="F92" i="17" s="1"/>
  <c r="F56" i="10"/>
  <c r="F97" i="9" s="1"/>
  <c r="F57" i="10"/>
  <c r="F58" i="10"/>
  <c r="F59" i="10"/>
  <c r="F105" i="9" s="1"/>
  <c r="F95" i="17" s="1"/>
  <c r="F60" i="10"/>
  <c r="F106" i="9" s="1"/>
  <c r="F96" i="17" s="1"/>
  <c r="H158" i="23"/>
  <c r="J158" i="23"/>
  <c r="K158" i="23" s="1"/>
  <c r="H160" i="23"/>
  <c r="J160" i="23"/>
  <c r="N160" i="23" s="1"/>
  <c r="F79" i="10"/>
  <c r="F82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55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83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84" i="10"/>
  <c r="K7" i="15" s="1"/>
  <c r="P185" i="9" s="1"/>
  <c r="E186" i="9"/>
  <c r="Q186" i="9" s="1"/>
  <c r="G21" i="27" s="1"/>
  <c r="E187" i="9"/>
  <c r="AK187" i="9" s="1"/>
  <c r="Y22" i="27" s="1"/>
  <c r="F87" i="10"/>
  <c r="K19" i="15" s="1"/>
  <c r="P187" i="9" s="1"/>
  <c r="E188" i="9"/>
  <c r="AK188" i="9" s="1"/>
  <c r="Y23" i="27" s="1"/>
  <c r="F86" i="10"/>
  <c r="J19" i="15" s="1"/>
  <c r="E189" i="9"/>
  <c r="AK189" i="9" s="1"/>
  <c r="Y24" i="27" s="1"/>
  <c r="F85" i="10"/>
  <c r="I19" i="15" s="1"/>
  <c r="P189" i="9" s="1"/>
  <c r="E190" i="9"/>
  <c r="Q190" i="9" s="1"/>
  <c r="G25" i="27" s="1"/>
  <c r="E191" i="9"/>
  <c r="Q191" i="9" s="1"/>
  <c r="G26" i="27" s="1"/>
  <c r="Q15" i="9"/>
  <c r="G151" i="23"/>
  <c r="F74" i="10"/>
  <c r="F75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73" i="10"/>
  <c r="F76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J21" i="17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Q17" i="24"/>
  <c r="AG171" i="9"/>
  <c r="AD171" i="9"/>
  <c r="R17" i="24" s="1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AD144" i="9"/>
  <c r="R125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Q21" i="20" l="1"/>
  <c r="AG88" i="9"/>
  <c r="AH88" i="9" s="1"/>
  <c r="V21" i="20" s="1"/>
  <c r="Q67" i="17"/>
  <c r="AG68" i="9"/>
  <c r="J26" i="20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J27" i="20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<sst xmlns="http://schemas.openxmlformats.org/spreadsheetml/2006/main" count="2766" uniqueCount="1280">
  <si>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</si>
  <si>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</si>
  <si>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</si>
  <si>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</si>
  <si>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</si>
  <si>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</si>
  <si>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</si>
  <si>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</si>
  <si>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</si>
  <si>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</si>
  <si>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</si>
  <si>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</si>
  <si>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</si>
  <si>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</si>
  <si>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</si>
  <si>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</si>
  <si>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</si>
  <si>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</si>
  <si>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</si>
  <si>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</si>
  <si>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</si>
  <si>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</si>
  <si>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</si>
  <si>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</si>
  <si>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</si>
  <si>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</si>
  <si>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</si>
  <si>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</si>
  <si>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</si>
  <si>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</si>
  <si>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</si>
  <si>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</si>
  <si>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</si>
  <si>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</si>
  <si>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</si>
  <si>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</si>
  <si>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</si>
  <si>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</si>
  <si>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</si>
  <si>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</si>
  <si>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</si>
  <si>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</si>
  <si>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</si>
  <si>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</si>
  <si>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</si>
  <si>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</si>
  <si>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</si>
  <si>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</si>
  <si>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</si>
  <si>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</si>
  <si>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</si>
  <si>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</si>
  <si>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</si>
  <si>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</si>
  <si>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</si>
  <si>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</si>
  <si>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</si>
  <si>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</si>
  <si>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</si>
  <si>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</si>
  <si>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</si>
  <si>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</si>
  <si>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</si>
  <si>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</si>
  <si>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</si>
  <si>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</si>
  <si>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</si>
  <si>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</si>
  <si>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</si>
  <si>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</si>
  <si>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</si>
  <si>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</si>
  <si>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</si>
  <si>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</si>
  <si>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</si>
  <si>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</si>
  <si>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</si>
  <si>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</si>
  <si>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</si>
  <si>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</si>
  <si>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</si>
  <si>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</si>
  <si>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</si>
  <si>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</si>
  <si>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</si>
  <si>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</si>
  <si>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</si>
  <si>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</si>
  <si>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</si>
  <si>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</si>
  <si>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</si>
  <si>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</si>
  <si>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</si>
  <si>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</si>
  <si>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</si>
  <si>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</si>
  <si>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</si>
  <si>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</si>
  <si>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</si>
  <si>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</si>
  <si>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</si>
  <si>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</si>
  <si>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</si>
  <si>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</si>
  <si>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</si>
  <si>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</si>
  <si>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</si>
  <si>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</si>
  <si>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</si>
  <si>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</si>
  <si>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</si>
  <si>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</si>
  <si>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</si>
  <si>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</si>
  <si>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</si>
  <si>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</si>
  <si>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</si>
  <si>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</si>
  <si>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</si>
  <si>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</si>
  <si>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</si>
  <si>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</si>
  <si>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</si>
  <si>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</si>
  <si>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</si>
  <si>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</si>
  <si>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</si>
  <si>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</si>
  <si>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</si>
  <si>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</si>
  <si>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</si>
  <si>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</si>
  <si>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</si>
  <si>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</si>
  <si>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</si>
  <si>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</si>
  <si>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</si>
  <si>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</si>
  <si>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</si>
  <si>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</si>
  <si>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</si>
  <si>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</si>
  <si>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</si>
  <si>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</si>
  <si>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</si>
  <si>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</si>
  <si>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</si>
  <si>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</si>
  <si>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</si>
  <si>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</si>
  <si>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</si>
  <si>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</si>
  <si>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</si>
  <si>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</si>
  <si>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</si>
  <si>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</si>
  <si>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</si>
  <si>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</si>
  <si>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</si>
  <si>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</si>
  <si>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</si>
  <si>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</si>
  <si>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</si>
  <si>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</si>
  <si>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</si>
  <si>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</si>
  <si>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</si>
  <si>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</si>
  <si>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</si>
  <si>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</si>
  <si>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</si>
  <si>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</si>
  <si>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</si>
  <si>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</si>
  <si>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</si>
  <si>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</si>
  <si>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</si>
  <si>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</si>
  <si>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</si>
  <si>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</si>
  <si>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</si>
  <si>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</si>
  <si>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</si>
  <si>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</si>
  <si>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</si>
  <si>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</si>
  <si>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</si>
  <si>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</si>
  <si>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</si>
  <si>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</si>
  <si>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</si>
  <si>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</si>
  <si>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</si>
  <si>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</si>
  <si>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</si>
  <si>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</si>
  <si>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</si>
  <si>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</si>
  <si>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</si>
  <si>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</si>
  <si>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</si>
  <si>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</si>
  <si>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</si>
  <si>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</si>
  <si>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</si>
  <si>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</si>
  <si>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</si>
  <si>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</si>
  <si>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</si>
  <si>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</si>
  <si>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</si>
  <si>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</si>
  <si>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</si>
  <si>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</si>
  <si>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</si>
  <si>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</si>
  <si>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</si>
  <si>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</si>
  <si>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</si>
  <si>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</si>
  <si>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</si>
  <si>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</si>
  <si>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</si>
  <si>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</si>
  <si>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</si>
  <si>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</si>
  <si>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</si>
  <si>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</si>
  <si>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</si>
  <si>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</si>
  <si>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</si>
  <si>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</si>
  <si>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</si>
  <si>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</si>
  <si>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</si>
  <si>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</si>
  <si>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</si>
  <si>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</si>
  <si>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</si>
  <si>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</si>
  <si>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</si>
  <si>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</si>
  <si>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</si>
  <si>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</si>
  <si>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</si>
  <si>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</si>
  <si>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</si>
  <si>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</si>
  <si>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</si>
  <si>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</si>
  <si>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</si>
  <si>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</si>
  <si>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</si>
  <si>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</si>
  <si>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</si>
  <si>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</si>
  <si>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</si>
  <si>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</si>
  <si>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</si>
  <si>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</si>
  <si>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</si>
  <si>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</si>
  <si>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</si>
  <si>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</si>
  <si>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</si>
  <si>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</si>
  <si>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</si>
  <si>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</si>
  <si>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</si>
  <si>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</si>
  <si>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</si>
  <si>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</si>
  <si>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</si>
  <si>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</si>
  <si>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</si>
  <si>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</si>
  <si>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</si>
  <si>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</si>
  <si>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</si>
  <si>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</si>
  <si>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</si>
  <si>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</si>
  <si>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</si>
  <si>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</si>
  <si>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</si>
  <si>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</si>
  <si>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</si>
  <si>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</si>
  <si>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</si>
  <si>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</si>
  <si>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</si>
  <si>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</si>
  <si>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</si>
  <si>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</si>
  <si>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</si>
  <si>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</si>
  <si>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</si>
  <si>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</si>
  <si>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</si>
  <si>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</si>
  <si>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</si>
  <si>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</si>
  <si>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</si>
  <si>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</si>
  <si>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</si>
  <si>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</si>
  <si>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</si>
  <si>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</si>
  <si>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</si>
  <si>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</si>
  <si>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</si>
  <si>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</si>
  <si>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</si>
  <si>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</si>
  <si>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</si>
  <si>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</si>
  <si>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</si>
  <si>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</si>
  <si>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</si>
  <si>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</si>
  <si>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</si>
  <si>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</si>
  <si>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</si>
  <si>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</si>
  <si>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</si>
  <si>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</si>
  <si>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</si>
  <si>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</si>
  <si>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</si>
  <si>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</si>
  <si>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</si>
  <si>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</si>
  <si>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</si>
  <si>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</si>
  <si>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</si>
  <si>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</si>
  <si>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</si>
  <si>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</si>
  <si>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</si>
  <si>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</si>
  <si>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</si>
  <si>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</si>
  <si>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</si>
  <si>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</si>
  <si>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</si>
  <si>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</si>
  <si>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</si>
  <si>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</si>
  <si>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</si>
  <si>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</si>
  <si>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</si>
  <si>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</si>
  <si>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</si>
  <si>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</si>
  <si>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</si>
  <si>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</si>
  <si>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</si>
  <si>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</si>
  <si>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</si>
  <si>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</si>
  <si>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</si>
  <si>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</si>
  <si>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</si>
  <si>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</si>
  <si>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</si>
  <si>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</si>
  <si>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</si>
  <si>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</si>
  <si>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</si>
  <si>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</si>
  <si>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</si>
  <si>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</si>
  <si>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</si>
  <si>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</si>
  <si>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</si>
  <si>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</si>
  <si>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</si>
  <si>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</si>
  <si>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</si>
  <si>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</si>
  <si>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</si>
  <si>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</si>
  <si>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</si>
  <si>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</si>
  <si>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</si>
  <si>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</si>
  <si>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</si>
  <si>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</si>
  <si>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</si>
  <si>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</si>
  <si>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</si>
  <si>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</si>
  <si>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</si>
  <si>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</si>
  <si>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</si>
  <si>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</si>
  <si>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</si>
  <si>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</si>
  <si>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</si>
  <si>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</si>
  <si>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</si>
  <si>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</si>
  <si>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</si>
  <si>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</si>
  <si>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</si>
  <si>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</si>
  <si>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</si>
  <si>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</si>
  <si>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</si>
  <si>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</si>
  <si>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</si>
  <si>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</si>
  <si>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</si>
  <si>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</si>
  <si>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</si>
  <si>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</si>
  <si>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</si>
  <si>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</si>
  <si>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</si>
  <si>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</si>
  <si>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</si>
  <si>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</si>
  <si>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</si>
  <si>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</si>
  <si>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</si>
  <si>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</si>
  <si>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</si>
  <si>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</si>
  <si>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</si>
  <si>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</si>
  <si>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</si>
  <si>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</si>
  <si>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</si>
  <si>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</si>
  <si>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</si>
  <si>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</si>
  <si>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</si>
  <si>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</si>
  <si>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</si>
  <si>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</si>
  <si>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</si>
  <si>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</si>
  <si>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</si>
  <si>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</si>
  <si>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</si>
  <si>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</si>
  <si>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</si>
  <si>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</si>
  <si>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</si>
  <si>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</si>
  <si>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</si>
  <si>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</si>
  <si>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</si>
  <si>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</si>
  <si>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</si>
  <si>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</si>
  <si>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</si>
  <si>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</si>
  <si>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</si>
  <si>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</si>
  <si>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</si>
  <si>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</si>
  <si>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</si>
  <si>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</si>
  <si>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</si>
  <si>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</si>
  <si>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</si>
  <si>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</si>
  <si>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</si>
  <si>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</si>
  <si>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</si>
  <si>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</si>
  <si>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</si>
  <si>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</si>
  <si>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</si>
  <si>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</si>
  <si>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</si>
  <si>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</si>
  <si>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</si>
  <si>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</si>
  <si>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</si>
  <si>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</si>
  <si>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</si>
  <si>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</si>
  <si>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</si>
  <si>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</si>
  <si>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</si>
  <si>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</si>
  <si>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</si>
  <si>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</si>
  <si>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</si>
  <si>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</si>
  <si>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</si>
  <si>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</si>
  <si>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</si>
  <si>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</si>
  <si>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</si>
  <si>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</si>
  <si>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</si>
  <si>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</si>
  <si>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</si>
  <si>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</si>
  <si>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</si>
  <si>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</si>
  <si>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</si>
  <si>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</si>
  <si>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</si>
  <si>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</si>
  <si>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</si>
  <si>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</si>
  <si>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</si>
  <si>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</si>
  <si>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</si>
  <si>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</si>
  <si>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</si>
  <si>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</si>
  <si>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</si>
  <si>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</si>
  <si>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</si>
  <si>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</si>
  <si>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</si>
  <si>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</si>
  <si>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</si>
  <si>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</si>
  <si>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</si>
  <si>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</si>
  <si>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</si>
  <si>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</si>
  <si>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</si>
  <si>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</si>
  <si>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</si>
  <si>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</si>
  <si>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</si>
  <si>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</si>
  <si>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</si>
  <si>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</si>
  <si>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</si>
  <si>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</si>
  <si>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</si>
  <si>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</si>
  <si>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</si>
  <si>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</si>
  <si>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</si>
  <si>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</si>
  <si>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</si>
  <si>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</si>
  <si>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</si>
  <si>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</si>
  <si>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</si>
  <si>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</si>
  <si>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</si>
  <si>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</si>
  <si>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</si>
  <si>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</si>
  <si>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</si>
  <si>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</si>
  <si>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</si>
  <si>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</si>
  <si>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</si>
  <si>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</si>
  <si>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</si>
  <si>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</si>
  <si>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</si>
  <si>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</si>
  <si>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</si>
  <si>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</si>
  <si>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</si>
  <si>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</si>
  <si>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</si>
  <si>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</si>
  <si>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</si>
  <si>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</si>
  <si>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</si>
  <si>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</si>
  <si>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</si>
  <si>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</si>
  <si>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</si>
  <si>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</si>
  <si>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</si>
  <si>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</si>
  <si>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</si>
  <si>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</si>
  <si>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</si>
  <si>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</si>
  <si>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</si>
  <si>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</si>
  <si>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</si>
  <si>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</si>
  <si>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</si>
  <si>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</si>
  <si>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</si>
  <si>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</si>
  <si>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</si>
  <si>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</si>
  <si>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</si>
  <si>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</si>
  <si>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</si>
  <si>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</si>
  <si>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</si>
  <si>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</si>
  <si>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</si>
  <si>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</si>
  <si>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</si>
  <si>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</si>
  <si>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</si>
  <si>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</si>
  <si>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</si>
  <si>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</si>
  <si>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</si>
  <si>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</si>
  <si>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</si>
  <si>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</si>
  <si>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</si>
  <si>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</si>
  <si>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</si>
  <si>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</si>
  <si>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</si>
  <si>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</si>
  <si>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</si>
  <si>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</si>
  <si>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</si>
  <si>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</si>
  <si>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</si>
  <si>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</si>
  <si>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</si>
  <si>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</si>
  <si>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</si>
  <si>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</si>
  <si>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</si>
  <si>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</si>
  <si>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</si>
  <si>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</si>
  <si>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</si>
  <si>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</si>
  <si>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</si>
  <si>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</si>
  <si>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</si>
  <si>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</si>
  <si>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</si>
  <si>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</si>
  <si>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</si>
  <si>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</si>
  <si>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</si>
  <si>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</si>
  <si>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</si>
  <si>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</si>
  <si>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</si>
  <si>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</si>
  <si>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</si>
  <si>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</si>
  <si>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</si>
  <si>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</si>
  <si>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</si>
  <si>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</si>
  <si>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</si>
  <si>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</si>
  <si>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</si>
  <si>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</si>
  <si>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</si>
  <si>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</si>
  <si>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</si>
  <si>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</si>
  <si>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</si>
  <si>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</si>
  <si>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</si>
  <si>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</si>
  <si>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</si>
  <si>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</si>
  <si>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</si>
  <si>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</si>
  <si>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</si>
  <si>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</si>
  <si>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</si>
  <si>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</si>
  <si>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</si>
  <si>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</si>
  <si>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</si>
  <si>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</si>
  <si>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</si>
  <si>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</si>
  <si>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</si>
  <si>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</si>
  <si>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</si>
  <si>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</si>
  <si>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</si>
  <si>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</si>
  <si>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</si>
  <si>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</si>
  <si>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</si>
  <si>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</si>
  <si>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</si>
  <si>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</si>
  <si>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</si>
  <si>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</si>
  <si>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</si>
  <si>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</si>
  <si>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</si>
  <si>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</si>
  <si>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</si>
  <si>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</si>
  <si>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</si>
  <si>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</si>
  <si>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</si>
  <si>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</si>
  <si>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</si>
  <si>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</si>
  <si>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</si>
  <si>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</si>
  <si>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</si>
  <si>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</si>
  <si>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</si>
  <si>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</si>
  <si>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</si>
  <si>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</si>
  <si>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</si>
  <si>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</si>
  <si>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</si>
  <si>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</si>
  <si>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</si>
  <si>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</si>
  <si>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</si>
  <si>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</si>
  <si>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</si>
  <si>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</si>
  <si>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</si>
  <si>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</si>
  <si>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</si>
  <si>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</si>
  <si>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</si>
  <si>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</si>
  <si>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</si>
  <si>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</si>
  <si>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</si>
  <si>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</si>
  <si>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</si>
  <si>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</si>
  <si>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</si>
  <si>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</si>
  <si>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</si>
  <si>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</si>
  <si>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</si>
  <si>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</si>
  <si>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</si>
  <si>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</si>
  <si>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</si>
  <si>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</si>
  <si>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</si>
  <si>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</si>
  <si>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</si>
  <si>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</si>
  <si>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</si>
  <si>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</si>
  <si>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</si>
  <si>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</si>
  <si>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</si>
  <si>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</si>
  <si>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</si>
  <si>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</si>
  <si>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</si>
  <si>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</si>
  <si>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</si>
  <si>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</si>
  <si>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</si>
  <si>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</si>
  <si>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</si>
  <si>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</si>
  <si>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</si>
  <si>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</si>
  <si>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</si>
  <si>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</si>
  <si>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</si>
  <si>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</si>
  <si>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</si>
  <si>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</si>
  <si>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</si>
  <si>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</si>
  <si>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</si>
  <si>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</si>
  <si>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</si>
  <si>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</si>
  <si>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</si>
  <si>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</si>
  <si>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</si>
  <si>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</si>
  <si>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</si>
  <si>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</si>
  <si>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</si>
  <si>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</si>
  <si>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</si>
  <si>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</si>
  <si>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</si>
  <si>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</si>
  <si>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</si>
  <si>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</si>
  <si>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</si>
  <si>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</si>
  <si>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</si>
  <si>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</si>
  <si>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</si>
  <si>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</si>
  <si>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</si>
  <si>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</si>
  <si>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</si>
  <si>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</si>
  <si>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</si>
  <si>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</si>
  <si>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</si>
  <si>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</si>
  <si>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</si>
  <si>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</si>
  <si>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</si>
  <si>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</si>
  <si>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</si>
  <si>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</si>
  <si>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</si>
  <si>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</si>
  <si>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</si>
  <si>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</si>
  <si>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</si>
  <si>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</si>
  <si>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</si>
  <si>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</si>
  <si>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</si>
  <si>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</si>
  <si>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</si>
  <si>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</si>
  <si>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</si>
  <si>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</si>
  <si>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</si>
  <si>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</si>
  <si>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</si>
  <si>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</si>
  <si>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</si>
  <si>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</si>
  <si>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</si>
  <si>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</si>
  <si>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</si>
  <si>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</si>
  <si>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</si>
  <si>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</si>
  <si>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</si>
  <si>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</si>
  <si>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</si>
  <si>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</si>
  <si>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</si>
  <si>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</si>
  <si>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</si>
  <si>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</si>
  <si>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</si>
  <si>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</si>
  <si>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</si>
  <si>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</si>
  <si>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</si>
  <si>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</si>
  <si>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</si>
  <si>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</si>
  <si>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</si>
  <si>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</si>
  <si>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</si>
  <si>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</si>
  <si>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</si>
  <si>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</si>
  <si>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</si>
  <si>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</si>
  <si>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</si>
  <si>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</si>
  <si>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</si>
  <si>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</si>
  <si>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</si>
  <si>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</si>
  <si>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</si>
  <si>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</si>
  <si>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</si>
  <si>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</si>
  <si>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</si>
  <si>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</si>
  <si>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</si>
  <si>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</si>
  <si>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</si>
  <si>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</si>
  <si>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</si>
  <si>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</si>
  <si>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</si>
  <si>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</si>
  <si>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</si>
  <si>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</si>
  <si>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</si>
  <si>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</si>
  <si>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</si>
  <si>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</si>
  <si>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</si>
  <si>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</si>
  <si>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</si>
  <si>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</si>
  <si>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</si>
  <si>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</si>
  <si>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</si>
  <si>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</si>
  <si>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</si>
  <si>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</si>
  <si>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</si>
  <si>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</si>
  <si>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</si>
  <si>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</si>
  <si>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</si>
  <si>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</si>
  <si>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</si>
  <si>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</si>
  <si>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</si>
  <si>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</si>
  <si>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</si>
  <si>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</si>
  <si>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</si>
  <si>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</si>
  <si>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</si>
  <si>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</si>
  <si>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</si>
  <si>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</si>
  <si>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</si>
  <si>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</si>
  <si>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</si>
  <si>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</si>
  <si>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</si>
  <si>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</si>
  <si>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</si>
  <si>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</si>
  <si>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</si>
  <si>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</si>
  <si>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</si>
  <si>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</si>
  <si>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</si>
  <si>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</si>
  <si>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</si>
  <si>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</si>
  <si>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</si>
  <si>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</si>
  <si>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</si>
  <si>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</si>
  <si>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</si>
  <si>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</si>
  <si>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</si>
  <si>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</si>
  <si>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</si>
  <si>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</si>
  <si>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</si>
  <si>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</si>
  <si>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</si>
  <si>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</si>
  <si>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</si>
  <si>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</si>
  <si>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</si>
  <si>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</si>
  <si>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</si>
  <si>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</si>
  <si>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</si>
  <si>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</si>
  <si>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</si>
  <si>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</si>
  <si>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</si>
  <si>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</si>
  <si>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</si>
  <si>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</si>
  <si>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</si>
  <si>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</si>
  <si>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</si>
  <si>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</si>
  <si>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</si>
  <si>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</si>
  <si>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</si>
  <si>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</si>
  <si>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</si>
  <si>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</si>
  <si>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</si>
  <si>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</si>
  <si>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</si>
  <si>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</si>
  <si>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</si>
  <si>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</si>
  <si>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</si>
  <si>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</si>
  <si>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</si>
  <si>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</si>
  <si>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</si>
  <si>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</si>
  <si>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</si>
  <si>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</si>
  <si>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</si>
  <si>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</si>
  <si>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</si>
  <si>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</si>
  <si>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</si>
  <si>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</si>
  <si>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</si>
  <si>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</si>
  <si>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</si>
  <si>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</si>
  <si>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</si>
  <si>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</si>
  <si>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</si>
  <si>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</si>
  <si>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</si>
  <si>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</si>
  <si>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</si>
  <si>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</si>
  <si>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</si>
  <si>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</si>
  <si>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</si>
  <si>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</si>
  <si>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</si>
  <si>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</si>
  <si>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</si>
  <si>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</si>
  <si>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</si>
  <si>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</si>
  <si>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</si>
  <si>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</si>
  <si>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</si>
  <si>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</si>
  <si>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</si>
  <si>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</si>
  <si>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</si>
  <si>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</si>
  <si>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</si>
  <si>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</si>
  <si>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</si>
  <si>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</si>
  <si>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</si>
  <si>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</si>
  <si>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</si>
  <si>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</si>
  <si>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</si>
  <si>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</si>
  <si>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</si>
  <si>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</si>
  <si>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</si>
  <si>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</si>
  <si>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</si>
  <si>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</si>
  <si>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</si>
  <si>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</si>
  <si>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</si>
  <si>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</si>
  <si>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</si>
  <si>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</si>
  <si>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</si>
  <si>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</si>
  <si>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</si>
  <si>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</si>
  <si>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</si>
  <si>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</si>
  <si>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</si>
  <si>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</si>
  <si>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</si>
  <si>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</si>
  <si>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</si>
  <si>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</si>
  <si>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</si>
  <si>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</si>
  <si>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</si>
  <si>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</si>
  <si>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</si>
  <si>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</si>
  <si>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</si>
  <si>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</si>
  <si>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</si>
  <si>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</si>
  <si>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</si>
  <si>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</si>
  <si>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</si>
  <si>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</si>
  <si>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</si>
  <si>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</si>
  <si>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</si>
  <si>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</si>
  <si>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</si>
  <si>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</si>
  <si>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</si>
  <si>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</si>
  <si>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</si>
  <si>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</si>
  <si>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</si>
  <si>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</si>
  <si>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</si>
  <si>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</si>
  <si>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</si>
  <si>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</si>
  <si>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</si>
  <si>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</si>
  <si>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</si>
  <si>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</si>
  <si>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</si>
  <si>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</si>
  <si>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</si>
  <si>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</si>
  <si>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</si>
  <si>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</si>
  <si>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</si>
  <si>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</si>
  <si>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</si>
  <si>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</si>
  <si>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</si>
  <si>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</si>
  <si>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</si>
  <si>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</si>
  <si>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</si>
  <si>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</si>
  <si>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</si>
  <si>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</si>
  <si>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</si>
  <si>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</si>
  <si>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</si>
  <si>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</si>
  <si>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</si>
  <si>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</si>
  <si>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</si>
  <si>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</si>
  <si>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</si>
  <si>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</si>
  <si>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</si>
  <si>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</si>
  <si>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</si>
  <si>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</si>
  <si>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</si>
  <si>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</si>
  <si>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</si>
  <si>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</si>
  <si>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</si>
  <si>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</si>
  <si>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</si>
  <si>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</si>
  <si>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</si>
  <si>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</si>
  <si>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</si>
  <si>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</si>
  <si>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</si>
  <si>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</si>
  <si>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</si>
  <si>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</si>
  <si>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</si>
  <si>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</si>
  <si>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</si>
  <si>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</si>
  <si>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</si>
  <si>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</si>
  <si>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</si>
  <si>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</si>
  <si>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</si>
  <si>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</si>
  <si>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</si>
  <si>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</si>
  <si>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</si>
  <si>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</si>
  <si>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</si>
  <si>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</si>
  <si>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</si>
  <si>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</si>
  <si>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</si>
  <si>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</si>
  <si>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</si>
  <si>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</si>
  <si>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</si>
  <si>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</si>
  <si>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</si>
  <si>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</si>
  <si>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</si>
  <si>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</si>
  <si>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</si>
  <si>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</si>
  <si>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</si>
  <si>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</si>
  <si>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</si>
  <si>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</si>
  <si>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</si>
  <si>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</si>
  <si>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</si>
  <si>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</si>
  <si>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</si>
  <si>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</si>
  <si>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</si>
  <si>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</si>
  <si>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</si>
  <si>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</si>
  <si>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</si>
  <si>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</si>
  <si>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</si>
  <si>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</si>
  <si>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</si>
  <si>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</si>
  <si>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</si>
  <si>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</si>
  <si>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</si>
  <si>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</si>
  <si>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</si>
  <si>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</si>
  <si>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</si>
  <si>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</si>
  <si>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</si>
  <si>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</si>
  <si>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</si>
  <si>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</si>
  <si>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</si>
  <si>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</si>
  <si>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</si>
  <si>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</si>
  <si>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</si>
  <si>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</si>
  <si>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</si>
  <si>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</si>
  <si>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</si>
  <si>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</si>
  <si>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</si>
  <si>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</si>
  <si>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</si>
  <si>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</si>
  <si>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</si>
  <si>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</si>
  <si>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</si>
  <si>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</si>
  <si>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</si>
  <si>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</si>
  <si>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</si>
  <si>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</si>
  <si>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</si>
  <si>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</si>
  <si>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</si>
  <si>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</si>
  <si>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</si>
  <si>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</si>
  <si>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</si>
  <si>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</si>
  <si>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</si>
  <si>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</si>
  <si>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</si>
  <si>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</si>
  <si>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</si>
  <si>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</si>
  <si>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</si>
  <si>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</si>
  <si>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</si>
  <si>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</si>
  <si>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</si>
  <si>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</si>
  <si>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</si>
  <si>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</si>
  <si>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</si>
  <si>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</si>
  <si>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</si>
  <si>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</si>
  <si>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</si>
  <si>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</si>
  <si>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</si>
  <si>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</si>
  <si>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</si>
  <si>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</si>
  <si>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</si>
  <si>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</si>
  <si>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</si>
  <si>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</si>
  <si>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</si>
  <si>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</si>
  <si>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</si>
  <si>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</si>
  <si>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</si>
  <si>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</si>
  <si>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</si>
  <si>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</si>
  <si>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</si>
  <si>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IN PROPERTY</t>
  </si>
  <si>
    <t>PANDORA STREET</t>
  </si>
  <si>
    <t>Sita</t>
  </si>
  <si>
    <t>Lee Naicker</t>
  </si>
  <si>
    <t>Ethekwini</t>
  </si>
  <si>
    <t>Desrae Naidoo</t>
  </si>
  <si>
    <t>Link Enterprise</t>
  </si>
  <si>
    <t>56K0000005_R1</t>
  </si>
  <si>
    <t>16/08/2023</t>
  </si>
  <si>
    <t>31/07/2023</t>
  </si>
  <si>
    <t>23/08/2023</t>
  </si>
  <si>
    <t>Siltek House - Phoenix Welfare</t>
  </si>
  <si>
    <t>K1SITA013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</si>
</sst>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17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52" borderId="38" xfId="0" applyFont="1" applyFill="1" applyBorder="1" applyAlignment="1">
      <alignment horizontal="left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93" fillId="0" borderId="0" xfId="0" applyFont="1" applyAlignment="1">
      <alignment horizontal="left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120" fillId="0" borderId="0" xfId="0" applyFont="1" applyAlignment="1">
      <alignment horizontal="right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1326924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38.654668981479" missingItemsLimit="0" createdVersion="5" refreshedVersion="8" minRefreshableVersion="3" recordCount="48" xr:uid="{00000000-000A-0000-FFFF-FFFF02000000}">
  <cacheSource type="worksheet">
    <worksheetSource ref="I1:O49" sheet="ROUTE INFO"/>
  </cacheSource>
  <cacheFields count="7">
    <cacheField name="DISTANCE" numFmtId="0">
      <sharedItems containsString="0" containsBlank="1" containsNumber="1" containsInteger="1" minValue="0" maxValue="65"/>
    </cacheField>
    <cacheField name="USE / COMMENTS" numFmtId="0">
      <sharedItems containsNonDate="0" containsString="0" containsBlank="1"/>
    </cacheField>
    <cacheField name="TRENCH TYPE" numFmtId="0">
      <sharedItems containsBlank="1" count="3">
        <m/>
        <s v="PAVING"/>
        <s v="SOIL"/>
      </sharedItems>
    </cacheField>
    <cacheField name="DUCT TYPE" numFmtId="0">
      <sharedItems containsBlank="1" count="6">
        <m/>
        <s v="3RD PARTY DUCT"/>
        <s v="TRUNKING 25x25"/>
        <s v="25MM PVC"/>
        <s v="110MM HDPE PIPE"/>
        <s v="EXISTING DUCT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 containsBlank="1"/>
    </cacheField>
    <cacheField name="SLACK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38.654670601849" missingItemsLimit="0" createdVersion="5" refreshedVersion="8" minRefreshableVersion="3" recordCount="48" xr:uid="{00000000-000A-0000-FFFF-FFFF01000000}">
  <cacheSource type="worksheet">
    <worksheetSource ref="N1:N49" sheet="ROUTE INFO"/>
  </cacheSource>
  <cacheFields count="1">
    <cacheField name="CABLE TYPE" numFmtId="0">
      <sharedItems containsBlank="1" count="2">
        <s v="MF 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38.654671064818" missingItemsLimit="0" createdVersion="5" refreshedVersion="8" minRefreshableVersion="3" recordCount="48" xr:uid="{00000000-000A-0000-FFFF-FFFF00000000}">
  <cacheSource type="worksheet">
    <worksheetSource ref="I1:P49" sheet="ROUTE INFO"/>
  </cacheSource>
  <cacheFields count="8">
    <cacheField name="DISTANCE" numFmtId="0">
      <sharedItems containsString="0" containsBlank="1" containsNumber="1" containsInteger="1" minValue="0" maxValue="65"/>
    </cacheField>
    <cacheField name="USE / COMMENTS" numFmtId="0">
      <sharedItems containsNonDate="0" containsString="0"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 count="2">
        <s v="MF 12"/>
        <m/>
      </sharedItems>
    </cacheField>
    <cacheField name="SLACK" numFmtId="0">
      <sharedItems containsString="0" containsBlank="1" containsNumber="1" containsInteger="1" minValue="20" maxValue="20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38.654671412034" missingItemsLimit="0" createdVersion="7" refreshedVersion="8" minRefreshableVersion="3" recordCount="48" xr:uid="{2CCD5A82-5FD0-40A4-84FC-D6BD9F1FDA5E}">
  <cacheSource type="worksheet">
    <worksheetSource ref="E1:O49" sheet="ROUTE INFO"/>
  </cacheSource>
  <cacheFields count="11">
    <cacheField name="MH TYPE" numFmtId="0">
      <sharedItems containsBlank="1" count="2">
        <m/>
        <s v="LA EXISTING"/>
      </sharedItems>
    </cacheField>
    <cacheField name="LOCATION" numFmtId="0">
      <sharedItems containsBlank="1"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DISTANCE" numFmtId="0">
      <sharedItems containsString="0" containsBlank="1" containsNumber="1" containsInteger="1" minValue="0" maxValue="65"/>
    </cacheField>
    <cacheField name="USE / COMMENTS" numFmtId="0">
      <sharedItems containsNonDate="0" containsString="0"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/>
    </cacheField>
    <cacheField name="SLACK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m/>
    <x v="0"/>
    <x v="0"/>
    <x v="0"/>
    <s v="MF 12"/>
    <n v="20"/>
  </r>
  <r>
    <n v="5"/>
    <m/>
    <x v="0"/>
    <x v="1"/>
    <x v="1"/>
    <s v="MF 12"/>
    <m/>
  </r>
  <r>
    <n v="4"/>
    <m/>
    <x v="0"/>
    <x v="2"/>
    <x v="1"/>
    <s v="MF 12"/>
    <m/>
  </r>
  <r>
    <n v="65"/>
    <m/>
    <x v="0"/>
    <x v="1"/>
    <x v="1"/>
    <s v="MF 12"/>
    <m/>
  </r>
  <r>
    <n v="20"/>
    <m/>
    <x v="0"/>
    <x v="3"/>
    <x v="1"/>
    <s v="MF 12"/>
    <m/>
  </r>
  <r>
    <n v="25"/>
    <m/>
    <x v="1"/>
    <x v="4"/>
    <x v="1"/>
    <s v="MF 12"/>
    <m/>
  </r>
  <r>
    <n v="15"/>
    <m/>
    <x v="2"/>
    <x v="4"/>
    <x v="1"/>
    <s v="MF 12"/>
    <m/>
  </r>
  <r>
    <n v="10"/>
    <m/>
    <x v="1"/>
    <x v="4"/>
    <x v="1"/>
    <s v="MF 12"/>
    <m/>
  </r>
  <r>
    <n v="5"/>
    <m/>
    <x v="2"/>
    <x v="4"/>
    <x v="1"/>
    <s v="MF 12"/>
    <m/>
  </r>
  <r>
    <n v="5"/>
    <m/>
    <x v="0"/>
    <x v="5"/>
    <x v="1"/>
    <s v="MF 12"/>
    <n v="20"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m/>
    <m/>
    <m/>
    <m/>
    <x v="0"/>
    <n v="20"/>
    <m/>
  </r>
  <r>
    <n v="5"/>
    <m/>
    <m/>
    <s v="3RD PARTY DUCT"/>
    <s v="14/10-1 WAY"/>
    <x v="0"/>
    <m/>
    <m/>
  </r>
  <r>
    <n v="4"/>
    <m/>
    <m/>
    <s v="TRUNKING 25x25"/>
    <s v="14/10-1 WAY"/>
    <x v="0"/>
    <m/>
    <m/>
  </r>
  <r>
    <n v="65"/>
    <m/>
    <m/>
    <s v="3RD PARTY DUCT"/>
    <s v="14/10-1 WAY"/>
    <x v="0"/>
    <m/>
    <m/>
  </r>
  <r>
    <n v="20"/>
    <m/>
    <m/>
    <s v="25MM PVC"/>
    <s v="14/10-1 WAY"/>
    <x v="0"/>
    <m/>
    <m/>
  </r>
  <r>
    <n v="25"/>
    <m/>
    <s v="PAVING"/>
    <s v="110MM HDPE PIPE"/>
    <s v="14/10-1 WAY"/>
    <x v="0"/>
    <m/>
    <m/>
  </r>
  <r>
    <n v="15"/>
    <m/>
    <s v="SOIL"/>
    <s v="110MM HDPE PIPE"/>
    <s v="14/10-1 WAY"/>
    <x v="0"/>
    <m/>
    <m/>
  </r>
  <r>
    <n v="10"/>
    <m/>
    <s v="PAVING"/>
    <s v="110MM HDPE PIPE"/>
    <s v="14/10-1 WAY"/>
    <x v="0"/>
    <m/>
    <m/>
  </r>
  <r>
    <n v="5"/>
    <m/>
    <s v="SOIL"/>
    <s v="110MM HDPE PIPE"/>
    <s v="14/10-1 WAY"/>
    <x v="0"/>
    <m/>
    <m/>
  </r>
  <r>
    <n v="5"/>
    <m/>
    <m/>
    <s v="EXISTING DUCT"/>
    <s v="14/10-1 WAY"/>
    <x v="0"/>
    <n v="20"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IN PROPERTY"/>
    <m/>
    <m/>
    <n v="0"/>
    <m/>
    <m/>
    <m/>
    <m/>
    <s v="MF 12"/>
    <n v="20"/>
  </r>
  <r>
    <x v="0"/>
    <s v="IN PROPERTY"/>
    <m/>
    <m/>
    <n v="5"/>
    <m/>
    <m/>
    <s v="3RD PARTY DUCT"/>
    <s v="14/10-1 WAY"/>
    <s v="MF 12"/>
    <m/>
  </r>
  <r>
    <x v="0"/>
    <s v="IN PROPERTY"/>
    <m/>
    <m/>
    <n v="4"/>
    <m/>
    <m/>
    <s v="TRUNKING 25x25"/>
    <s v="14/10-1 WAY"/>
    <s v="MF 12"/>
    <m/>
  </r>
  <r>
    <x v="0"/>
    <s v="IN PROPERTY"/>
    <m/>
    <m/>
    <n v="65"/>
    <m/>
    <m/>
    <s v="3RD PARTY DUCT"/>
    <s v="14/10-1 WAY"/>
    <s v="MF 12"/>
    <m/>
  </r>
  <r>
    <x v="0"/>
    <s v="IN PROPERTY"/>
    <m/>
    <m/>
    <n v="20"/>
    <m/>
    <m/>
    <s v="25MM PVC"/>
    <s v="14/10-1 WAY"/>
    <s v="MF 12"/>
    <m/>
  </r>
  <r>
    <x v="0"/>
    <s v="IN PROPERTY"/>
    <m/>
    <m/>
    <n v="25"/>
    <m/>
    <s v="PAVING"/>
    <s v="110MM HDPE PIPE"/>
    <s v="14/10-1 WAY"/>
    <s v="MF 12"/>
    <m/>
  </r>
  <r>
    <x v="0"/>
    <s v="IN PROPERTY"/>
    <m/>
    <m/>
    <n v="15"/>
    <m/>
    <s v="SOIL"/>
    <s v="110MM HDPE PIPE"/>
    <s v="14/10-1 WAY"/>
    <s v="MF 12"/>
    <m/>
  </r>
  <r>
    <x v="0"/>
    <s v="IN PROPERTY"/>
    <m/>
    <m/>
    <n v="10"/>
    <m/>
    <s v="PAVING"/>
    <s v="110MM HDPE PIPE"/>
    <s v="14/10-1 WAY"/>
    <s v="MF 12"/>
    <m/>
  </r>
  <r>
    <x v="0"/>
    <s v="IN PROPERTY"/>
    <m/>
    <m/>
    <n v="5"/>
    <m/>
    <s v="SOIL"/>
    <s v="110MM HDPE PIPE"/>
    <s v="14/10-1 WAY"/>
    <s v="MF 12"/>
    <m/>
  </r>
  <r>
    <x v="1"/>
    <s v="PANDORA STREET"/>
    <m/>
    <m/>
    <n v="5"/>
    <m/>
    <m/>
    <s v="EXISTING DUCT"/>
    <s v="14/10-1 WAY"/>
    <s v="MF 12"/>
    <n v="20"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95:O98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72:L75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83:L8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95:L99" firstHeaderRow="1" firstDataRow="1" firstDataCol="1"/>
  <pivotFields count="7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72:O79" firstHeaderRow="1" firstDataRow="1" firstDataCol="1"/>
  <pivotFields count="7"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4:N57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abSelected="1" zoomScale="80" zoomScaleNormal="80" workbookViewId="0">
      <selection activeCell="E27" sqref="E27"/>
    </sheetView>
  </sheetViews>
  <sheetFormatPr defaultColWidth="9.08984375" defaultRowHeight="13"/>
  <cols>
    <col min="1" max="1" width="5.81640625" style="649" customWidth="1"/>
    <col min="2" max="2" width="25" style="649" customWidth="1"/>
    <col min="3" max="3" width="19.08984375" style="649" customWidth="1"/>
    <col min="4" max="4" width="5.81640625" style="649" customWidth="1"/>
    <col min="5" max="5" width="23.453125" style="649" bestFit="1" customWidth="1"/>
    <col min="6" max="6" width="19.36328125" style="649" customWidth="1"/>
    <col min="7" max="7" width="5.81640625" style="649" customWidth="1"/>
    <col min="8" max="8" width="24.453125" style="649" bestFit="1" customWidth="1"/>
    <col min="9" max="9" width="20.81640625" style="649" customWidth="1"/>
    <col min="10" max="10" width="5.81640625" style="649" customWidth="1"/>
    <col min="11" max="12" width="20.81640625" style="649" customWidth="1"/>
    <col min="13" max="13" width="10.81640625" style="649" customWidth="1"/>
    <col min="14" max="14" width="20.81640625" style="649" customWidth="1"/>
    <col min="15" max="15" width="10.81640625" style="649" customWidth="1"/>
    <col min="16" max="16" width="20.81640625" style="649" customWidth="1"/>
    <col min="17" max="17" width="10.81640625" style="649" customWidth="1"/>
    <col min="18" max="18" width="5.81640625" style="649" customWidth="1"/>
    <col min="19" max="19" width="22.36328125" style="649" bestFit="1" customWidth="1"/>
    <col min="20" max="20" width="39.54296875" style="649" bestFit="1" customWidth="1"/>
    <col min="21" max="16384" width="9.08984375" style="649"/>
  </cols>
  <sheetData>
    <row r="1" spans="1:25" ht="18">
      <c r="A1" s="648" t="s">
        <v>117</v>
      </c>
      <c r="B1" s="1038" t="str">
        <f>'Master BOQ Pricing_2018-01-08'!B1</f>
        <v>To Be viewed in conjunction with BOS_000-MS-BO-010 Rev 5</v>
      </c>
      <c r="C1" s="1038"/>
      <c r="D1" s="1038"/>
      <c r="E1" s="1038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39" t="s">
        <v>448</v>
      </c>
      <c r="M3" s="1040"/>
      <c r="N3" s="1041" t="s">
        <v>454</v>
      </c>
      <c r="O3" s="1042"/>
      <c r="S3" s="239"/>
      <c r="T3" s="240"/>
    </row>
    <row r="4" spans="1:25" ht="15" thickBot="1">
      <c r="B4" s="834" t="s">
        <v>707</v>
      </c>
      <c r="C4" s="1035" t="s">
        <v>1274</v>
      </c>
      <c r="D4" s="1036"/>
      <c r="E4" s="1036"/>
      <c r="F4" s="1037"/>
      <c r="H4" s="637" t="s">
        <v>333</v>
      </c>
      <c r="I4" s="675">
        <f>'Infra Build BOQ'!G251</f>
        <v>8829.380000000001</v>
      </c>
      <c r="K4" s="655" t="s">
        <v>446</v>
      </c>
      <c r="L4" s="1047" t="str">
        <f>'CIVIL SI'!C6</f>
        <v>INTERNAL OR CONTRACTOR NAME</v>
      </c>
      <c r="M4" s="1048"/>
      <c r="N4" s="1051">
        <f>'CIVIL SI'!Y199</f>
        <v>0</v>
      </c>
      <c r="O4" s="1052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35" t="s">
        <v>1274</v>
      </c>
      <c r="D5" s="1036"/>
      <c r="E5" s="1036"/>
      <c r="F5" s="1037"/>
      <c r="H5" s="639" t="s">
        <v>334</v>
      </c>
      <c r="I5" s="676">
        <f>'Infra Build BOQ'!G252</f>
        <v>9994.9400000000023</v>
      </c>
      <c r="J5" s="656"/>
      <c r="K5" s="657" t="s">
        <v>447</v>
      </c>
      <c r="L5" s="1049" t="str">
        <f>'JETTING SI'!C6</f>
        <v>INTERNAL OR CONTRACTOR NAME</v>
      </c>
      <c r="M5" s="1050"/>
      <c r="N5" s="1053">
        <f>'JETTING SI'!Y32</f>
        <v>0</v>
      </c>
      <c r="O5" s="1054"/>
      <c r="S5" s="239"/>
      <c r="T5" s="240"/>
    </row>
    <row r="6" spans="1:25" ht="15" thickBot="1">
      <c r="B6" s="835" t="s">
        <v>0</v>
      </c>
      <c r="C6" s="1030" t="s">
        <v>1269</v>
      </c>
      <c r="D6" s="1031"/>
      <c r="E6" s="1031"/>
      <c r="F6" s="1032"/>
      <c r="H6" s="658" t="s">
        <v>336</v>
      </c>
      <c r="I6" s="635">
        <f>I4+I5</f>
        <v>18824.320000000003</v>
      </c>
      <c r="K6" s="657" t="s">
        <v>325</v>
      </c>
      <c r="L6" s="1049" t="str">
        <f>'DRILLING SI'!C6</f>
        <v>INTERNAL OR CONTRACTOR NAME</v>
      </c>
      <c r="M6" s="1050"/>
      <c r="N6" s="1053">
        <f>'DRILLING SI'!Y25</f>
        <v>0</v>
      </c>
      <c r="O6" s="1054"/>
      <c r="S6" s="239" t="s">
        <v>499</v>
      </c>
      <c r="T6" s="240" t="str">
        <f>'Master BOQ Pricing_2018-01-08'!K4</f>
        <v>BILL OF QUANTITIES INFRASTRUCTURE BUILD</v>
      </c>
    </row>
    <row r="7" spans="1:25" ht="14.5">
      <c r="B7" s="835" t="s">
        <v>305</v>
      </c>
      <c r="C7" s="1030" t="s">
        <v>1273</v>
      </c>
      <c r="D7" s="1031"/>
      <c r="E7" s="1031"/>
      <c r="F7" s="1032"/>
      <c r="K7" s="657" t="s">
        <v>449</v>
      </c>
      <c r="L7" s="1049" t="str">
        <f>'REINSTATEMENT SI'!C6</f>
        <v>INTERNAL OR CONTRACTOR NAME</v>
      </c>
      <c r="M7" s="1050"/>
      <c r="N7" s="1053">
        <f>'REINSTATEMENT SI'!Y24</f>
        <v>0</v>
      </c>
      <c r="O7" s="1054"/>
      <c r="S7" s="239"/>
      <c r="T7" s="240"/>
    </row>
    <row r="8" spans="1:25" ht="15" thickBot="1">
      <c r="B8" s="835" t="s">
        <v>996</v>
      </c>
      <c r="C8" s="1030" t="s">
        <v>1002</v>
      </c>
      <c r="D8" s="1031"/>
      <c r="E8" s="1031"/>
      <c r="F8" s="1032"/>
      <c r="K8" s="657" t="s">
        <v>450</v>
      </c>
      <c r="L8" s="1049" t="str">
        <f>'FLOATING SI'!C6</f>
        <v>INTERNAL OR CONTRACTOR NAME</v>
      </c>
      <c r="M8" s="1050"/>
      <c r="N8" s="1053">
        <f>'FLOATING SI'!Y36</f>
        <v>0</v>
      </c>
      <c r="O8" s="1054"/>
      <c r="S8" s="239" t="s">
        <v>503</v>
      </c>
      <c r="T8" s="240" t="str">
        <f>'Master BOQ Pricing_2018-01-08'!K5</f>
        <v>LA-TEC-BOQ-001</v>
      </c>
    </row>
    <row r="9" spans="1:25" ht="28.75" customHeight="1" thickBot="1">
      <c r="B9" s="835" t="s">
        <v>1073</v>
      </c>
      <c r="C9" s="1043" t="str">
        <f>VLOOKUP(C8,'Network Types'!C2:D20,2,FALSE)</f>
        <v>Link Africa traditional network, including [PoPs, Fibre Routes Link Africa, and Connected Locations]</v>
      </c>
      <c r="D9" s="1044"/>
      <c r="E9" s="1044"/>
      <c r="F9" s="1045"/>
      <c r="H9" s="273" t="s">
        <v>348</v>
      </c>
      <c r="K9" s="679" t="s">
        <v>316</v>
      </c>
      <c r="L9" s="1062" t="str">
        <f>'FOCUS SI'!C6</f>
        <v>INTERNAL OR CONTRACTOR NAME</v>
      </c>
      <c r="M9" s="1063"/>
      <c r="N9" s="1055">
        <f>'FOCUS SI'!Y32</f>
        <v>0</v>
      </c>
      <c r="O9" s="1056"/>
      <c r="S9" s="239"/>
      <c r="T9" s="240"/>
    </row>
    <row r="10" spans="1:25" ht="15" thickBot="1">
      <c r="B10" s="835" t="s">
        <v>342</v>
      </c>
      <c r="C10" s="1030" t="s">
        <v>1275</v>
      </c>
      <c r="D10" s="1031"/>
      <c r="E10" s="1031"/>
      <c r="F10" s="1032"/>
      <c r="H10" s="637" t="s">
        <v>311</v>
      </c>
      <c r="I10" s="684">
        <f>IF(I45=0,(C51+C52+C63),(I35+I44+C51+C63))</f>
        <v>154</v>
      </c>
      <c r="K10" s="660" t="s">
        <v>451</v>
      </c>
      <c r="L10" s="1033" t="str">
        <f>'SPLICING SI'!C6</f>
        <v>INTERNAL OR CONTRACTOR NAME</v>
      </c>
      <c r="M10" s="1034"/>
      <c r="N10" s="1057">
        <f>'SPLICING SI'!Y24</f>
        <v>0</v>
      </c>
      <c r="O10" s="1058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30"/>
      <c r="D11" s="1031"/>
      <c r="E11" s="1031"/>
      <c r="F11" s="1032"/>
      <c r="H11" s="659" t="s">
        <v>350</v>
      </c>
      <c r="I11" s="996">
        <f>ROUNDUP(I4/I10,2)</f>
        <v>57.339999999999996</v>
      </c>
      <c r="L11" s="1061" t="s">
        <v>453</v>
      </c>
      <c r="M11" s="1061"/>
      <c r="N11" s="1059">
        <f>SUM(O4:O10)</f>
        <v>0</v>
      </c>
      <c r="O11" s="1060"/>
      <c r="S11" s="239"/>
      <c r="T11" s="240"/>
    </row>
    <row r="12" spans="1:25" ht="14.5">
      <c r="B12" s="835" t="s">
        <v>307</v>
      </c>
      <c r="C12" s="1030" t="s">
        <v>1270</v>
      </c>
      <c r="D12" s="1031"/>
      <c r="E12" s="1031"/>
      <c r="F12" s="1032"/>
      <c r="H12" s="638" t="s">
        <v>327</v>
      </c>
      <c r="I12" s="636">
        <f>IF(I45=0,(C51+C52+C63),((I35+I36+I44)+(C51+C52+C63)))</f>
        <v>154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30" t="s">
        <v>1270</v>
      </c>
      <c r="D13" s="1031"/>
      <c r="E13" s="1031"/>
      <c r="F13" s="1032"/>
      <c r="H13" s="661" t="s">
        <v>349</v>
      </c>
      <c r="I13" s="997">
        <f>ROUNDUP((I4+I5)/I12,2)</f>
        <v>122.24000000000001</v>
      </c>
      <c r="S13" s="239"/>
      <c r="T13" s="662"/>
      <c r="W13" s="1046"/>
      <c r="X13" s="1046"/>
      <c r="Y13" s="1046"/>
    </row>
    <row r="14" spans="1:25" ht="15" thickBot="1">
      <c r="B14" s="835" t="s">
        <v>309</v>
      </c>
      <c r="C14" s="1030"/>
      <c r="D14" s="1031"/>
      <c r="E14" s="1031"/>
      <c r="F14" s="1032"/>
      <c r="S14" s="241" t="s">
        <v>502</v>
      </c>
      <c r="T14" s="923">
        <f>'Master BOQ Pricing_2018-01-08'!K8</f>
        <v>45047</v>
      </c>
    </row>
    <row r="15" spans="1:25" ht="13.5" thickBot="1">
      <c r="B15" s="835" t="s">
        <v>310</v>
      </c>
      <c r="C15" s="1030" t="s">
        <v>1276</v>
      </c>
      <c r="D15" s="1031"/>
      <c r="E15" s="1031"/>
      <c r="F15" s="1032"/>
      <c r="H15" s="833" t="s">
        <v>514</v>
      </c>
    </row>
    <row r="16" spans="1:25" ht="13.5" thickBot="1">
      <c r="B16" s="836" t="s">
        <v>1242</v>
      </c>
      <c r="C16" s="1030" t="s">
        <v>1278</v>
      </c>
      <c r="D16" s="1031"/>
      <c r="E16" s="1031"/>
      <c r="F16" s="1032"/>
      <c r="H16" s="637" t="s">
        <v>512</v>
      </c>
      <c r="I16" s="998">
        <v>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30" t="s">
        <v>1279</v>
      </c>
      <c r="D17" s="1031"/>
      <c r="E17" s="1031"/>
      <c r="F17" s="1032"/>
      <c r="H17" s="677" t="s">
        <v>513</v>
      </c>
      <c r="I17" s="683">
        <f>ROUNDUP(I16*12,2)</f>
        <v>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3.5" thickBot="1">
      <c r="B18" s="836" t="s">
        <v>2</v>
      </c>
      <c r="C18" s="1030" t="s">
        <v>1271</v>
      </c>
      <c r="D18" s="1031"/>
      <c r="E18" s="1031"/>
      <c r="F18" s="1032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3.5" thickBot="1">
      <c r="B19" s="836" t="s">
        <v>3</v>
      </c>
      <c r="C19" s="1030" t="s">
        <v>1277</v>
      </c>
      <c r="D19" s="1031"/>
      <c r="E19" s="1031"/>
      <c r="F19" s="1032"/>
      <c r="H19" s="640" t="s">
        <v>1243</v>
      </c>
      <c r="I19" s="641" t="e">
        <f>ROUNDUP((I6-I18)/I17,1)</f>
        <v>#DIV/0!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3.5" thickBot="1">
      <c r="B20" s="835" t="s">
        <v>346</v>
      </c>
      <c r="C20" s="1030"/>
      <c r="D20" s="1031"/>
      <c r="E20" s="1031"/>
      <c r="F20" s="1032"/>
      <c r="H20" s="640" t="s">
        <v>1241</v>
      </c>
      <c r="I20" s="641" t="e">
        <f>ROUNDUP(I19*12,0)</f>
        <v>#DIV/0!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3.5" thickBot="1">
      <c r="B21" s="835" t="s">
        <v>459</v>
      </c>
      <c r="C21" s="1030" t="s">
        <v>1272</v>
      </c>
      <c r="D21" s="1031"/>
      <c r="E21" s="1031"/>
      <c r="F21" s="1032"/>
    </row>
    <row r="22" spans="2:17" ht="15" customHeight="1" thickBot="1">
      <c r="B22" s="835" t="s">
        <v>460</v>
      </c>
      <c r="C22" s="1030"/>
      <c r="D22" s="1031"/>
      <c r="E22" s="1031"/>
      <c r="F22" s="1032"/>
      <c r="H22" s="665" t="s">
        <v>314</v>
      </c>
      <c r="K22" s="654" t="s">
        <v>230</v>
      </c>
      <c r="L22" s="1039" t="s">
        <v>466</v>
      </c>
      <c r="M22" s="1039"/>
      <c r="N22" s="1039" t="s">
        <v>456</v>
      </c>
      <c r="O22" s="1042"/>
    </row>
    <row r="23" spans="2:17" ht="13.5" thickBot="1">
      <c r="B23" s="837" t="s">
        <v>461</v>
      </c>
      <c r="C23" s="1064"/>
      <c r="D23" s="1065"/>
      <c r="E23" s="1065"/>
      <c r="F23" s="1066"/>
      <c r="H23" s="637" t="s">
        <v>316</v>
      </c>
      <c r="I23" s="1016">
        <f>IF(I45=0,C51/C64,(C51+I35)/(C64+I45))</f>
        <v>0</v>
      </c>
      <c r="K23" s="655" t="s">
        <v>457</v>
      </c>
      <c r="L23" s="1067">
        <f>SUMIF(L4:L10,K23,O4:O10)</f>
        <v>0</v>
      </c>
      <c r="M23" s="1067"/>
      <c r="N23" s="1069" t="e">
        <f>L23/N11</f>
        <v>#DIV/0!</v>
      </c>
      <c r="O23" s="1070"/>
    </row>
    <row r="24" spans="2:17" ht="13.5" thickBot="1">
      <c r="C24" s="685"/>
      <c r="D24" s="685"/>
      <c r="E24" s="685"/>
      <c r="H24" s="638" t="s">
        <v>318</v>
      </c>
      <c r="I24" s="1017">
        <f>IF(I45=0,C52/C64,(C52+I36)/(C64+I45))</f>
        <v>3.2467532467532464E-2</v>
      </c>
      <c r="K24" s="660" t="s">
        <v>458</v>
      </c>
      <c r="L24" s="1068">
        <f>N11-L23</f>
        <v>0</v>
      </c>
      <c r="M24" s="1068"/>
      <c r="N24" s="1071" t="e">
        <f>L24/N11</f>
        <v>#DIV/0!</v>
      </c>
      <c r="O24" s="1072"/>
    </row>
    <row r="25" spans="2:17" ht="13.5" thickBot="1">
      <c r="C25" s="685"/>
      <c r="D25" s="685"/>
      <c r="E25" s="685"/>
      <c r="H25" s="666" t="s">
        <v>320</v>
      </c>
      <c r="I25" s="1018">
        <f>IF(I45=0,C63/C64,(C63+I44)/(C64+I45))</f>
        <v>0.96753246753246758</v>
      </c>
    </row>
    <row r="26" spans="2:17" ht="13.5" thickBot="1">
      <c r="C26" s="685"/>
      <c r="D26" s="685"/>
      <c r="I26" s="625"/>
    </row>
    <row r="27" spans="2:17" ht="13.5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3.5" thickBot="1">
      <c r="H30" s="667" t="s">
        <v>345</v>
      </c>
      <c r="I30" s="644" t="e">
        <f>ROUNDUP(I6/I28,2)</f>
        <v>#DIV/0!</v>
      </c>
    </row>
    <row r="31" spans="2:17" ht="13.5" thickBot="1"/>
    <row r="32" spans="2:17" ht="13.5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27"/>
      <c r="L33" s="1028"/>
      <c r="M33" s="1028"/>
      <c r="N33" s="1028"/>
      <c r="O33" s="1028"/>
      <c r="P33" s="1028"/>
      <c r="Q33" s="1029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1"/>
      <c r="L34" s="1022"/>
      <c r="M34" s="1022"/>
      <c r="N34" s="1022"/>
      <c r="O34" s="1022"/>
      <c r="P34" s="1022"/>
      <c r="Q34" s="1023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1"/>
      <c r="L35" s="1022"/>
      <c r="M35" s="1022"/>
      <c r="N35" s="1022"/>
      <c r="O35" s="1022"/>
      <c r="P35" s="1022"/>
      <c r="Q35" s="1023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1"/>
      <c r="L36" s="1022"/>
      <c r="M36" s="1022"/>
      <c r="N36" s="1022"/>
      <c r="O36" s="1022"/>
      <c r="P36" s="1022"/>
      <c r="Q36" s="1023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1"/>
      <c r="L37" s="1022"/>
      <c r="M37" s="1022"/>
      <c r="N37" s="1022"/>
      <c r="O37" s="1022"/>
      <c r="P37" s="1022"/>
      <c r="Q37" s="1023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1"/>
      <c r="L38" s="1022"/>
      <c r="M38" s="1022"/>
      <c r="N38" s="1022"/>
      <c r="O38" s="1022"/>
      <c r="P38" s="1022"/>
      <c r="Q38" s="1023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1"/>
      <c r="L39" s="1022"/>
      <c r="M39" s="1022"/>
      <c r="N39" s="1022"/>
      <c r="O39" s="1022"/>
      <c r="P39" s="1022"/>
      <c r="Q39" s="1023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1"/>
      <c r="L40" s="1022"/>
      <c r="M40" s="1022"/>
      <c r="N40" s="1022"/>
      <c r="O40" s="1022"/>
      <c r="P40" s="1022"/>
      <c r="Q40" s="1023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1"/>
      <c r="L41" s="1022"/>
      <c r="M41" s="1022"/>
      <c r="N41" s="1022"/>
      <c r="O41" s="1022"/>
      <c r="P41" s="1022"/>
      <c r="Q41" s="1023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1"/>
      <c r="L42" s="1022"/>
      <c r="M42" s="1022"/>
      <c r="N42" s="1022"/>
      <c r="O42" s="1022"/>
      <c r="P42" s="1022"/>
      <c r="Q42" s="1023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1"/>
      <c r="L43" s="1022"/>
      <c r="M43" s="1022"/>
      <c r="N43" s="1022"/>
      <c r="O43" s="1022"/>
      <c r="P43" s="1022"/>
      <c r="Q43" s="1023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1"/>
      <c r="L44" s="1022"/>
      <c r="M44" s="1022"/>
      <c r="N44" s="1022"/>
      <c r="O44" s="1022"/>
      <c r="P44" s="1022"/>
      <c r="Q44" s="1023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24"/>
      <c r="L45" s="1025"/>
      <c r="M45" s="1025"/>
      <c r="N45" s="1025"/>
      <c r="O45" s="1025"/>
      <c r="P45" s="1025"/>
      <c r="Q45" s="1026"/>
    </row>
    <row r="47" spans="2:17" ht="13.5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27"/>
      <c r="L49" s="1028"/>
      <c r="M49" s="1028"/>
      <c r="N49" s="1028"/>
      <c r="O49" s="1028"/>
      <c r="P49" s="1028"/>
      <c r="Q49" s="1029"/>
    </row>
    <row r="50" spans="2:17" ht="15" customHeight="1">
      <c r="B50" s="638" t="s">
        <v>317</v>
      </c>
      <c r="C50" s="645">
        <v>0</v>
      </c>
      <c r="K50" s="1021"/>
      <c r="L50" s="1022"/>
      <c r="M50" s="1022"/>
      <c r="N50" s="1022"/>
      <c r="O50" s="1022"/>
      <c r="P50" s="1022"/>
      <c r="Q50" s="1023"/>
    </row>
    <row r="51" spans="2:17" ht="15" customHeight="1">
      <c r="B51" s="671" t="s">
        <v>319</v>
      </c>
      <c r="C51" s="672">
        <f>C49+C50</f>
        <v>0</v>
      </c>
      <c r="K51" s="1021"/>
      <c r="L51" s="1022"/>
      <c r="M51" s="1022"/>
      <c r="N51" s="1022"/>
      <c r="O51" s="1022"/>
      <c r="P51" s="1022"/>
      <c r="Q51" s="1023"/>
    </row>
    <row r="52" spans="2:17" ht="15" customHeight="1">
      <c r="B52" s="638" t="s">
        <v>322</v>
      </c>
      <c r="C52" s="645">
        <v>5</v>
      </c>
      <c r="K52" s="1021"/>
      <c r="L52" s="1022"/>
      <c r="M52" s="1022"/>
      <c r="N52" s="1022"/>
      <c r="O52" s="1022"/>
      <c r="P52" s="1022"/>
      <c r="Q52" s="1023"/>
    </row>
    <row r="53" spans="2:17" ht="15" customHeight="1">
      <c r="B53" s="638" t="s">
        <v>472</v>
      </c>
      <c r="C53" s="645">
        <v>0</v>
      </c>
      <c r="K53" s="1021"/>
      <c r="L53" s="1022"/>
      <c r="M53" s="1022"/>
      <c r="N53" s="1022"/>
      <c r="O53" s="1022"/>
      <c r="P53" s="1022"/>
      <c r="Q53" s="1023"/>
    </row>
    <row r="54" spans="2:17" ht="15" customHeight="1">
      <c r="B54" s="671" t="s">
        <v>323</v>
      </c>
      <c r="C54" s="672">
        <f>C52+C53</f>
        <v>5</v>
      </c>
      <c r="K54" s="1021"/>
      <c r="L54" s="1022"/>
      <c r="M54" s="1022"/>
      <c r="N54" s="1022"/>
      <c r="O54" s="1022"/>
      <c r="P54" s="1022"/>
      <c r="Q54" s="1023"/>
    </row>
    <row r="55" spans="2:17" ht="15" customHeight="1">
      <c r="B55" s="638" t="s">
        <v>321</v>
      </c>
      <c r="C55" s="645">
        <v>70</v>
      </c>
      <c r="K55" s="1021"/>
      <c r="L55" s="1022"/>
      <c r="M55" s="1022"/>
      <c r="N55" s="1022"/>
      <c r="O55" s="1022"/>
      <c r="P55" s="1022"/>
      <c r="Q55" s="1023"/>
    </row>
    <row r="56" spans="2:17" ht="15" customHeight="1">
      <c r="B56" s="638" t="s">
        <v>328</v>
      </c>
      <c r="C56" s="645">
        <v>0</v>
      </c>
      <c r="K56" s="1021"/>
      <c r="L56" s="1022"/>
      <c r="M56" s="1022"/>
      <c r="N56" s="1022"/>
      <c r="O56" s="1022"/>
      <c r="P56" s="1022"/>
      <c r="Q56" s="1023"/>
    </row>
    <row r="57" spans="2:17" ht="15" customHeight="1">
      <c r="B57" s="638" t="s">
        <v>329</v>
      </c>
      <c r="C57" s="645">
        <v>35</v>
      </c>
      <c r="K57" s="1021"/>
      <c r="L57" s="1022"/>
      <c r="M57" s="1022"/>
      <c r="N57" s="1022"/>
      <c r="O57" s="1022"/>
      <c r="P57" s="1022"/>
      <c r="Q57" s="1023"/>
    </row>
    <row r="58" spans="2:17" ht="15" customHeight="1">
      <c r="B58" s="638" t="s">
        <v>330</v>
      </c>
      <c r="C58" s="645">
        <v>0</v>
      </c>
      <c r="K58" s="1021"/>
      <c r="L58" s="1022"/>
      <c r="M58" s="1022"/>
      <c r="N58" s="1022"/>
      <c r="O58" s="1022"/>
      <c r="P58" s="1022"/>
      <c r="Q58" s="1023"/>
    </row>
    <row r="59" spans="2:17" ht="15" customHeight="1">
      <c r="B59" s="638" t="s">
        <v>325</v>
      </c>
      <c r="C59" s="645">
        <v>0</v>
      </c>
      <c r="K59" s="1021"/>
      <c r="L59" s="1022"/>
      <c r="M59" s="1022"/>
      <c r="N59" s="1022"/>
      <c r="O59" s="1022"/>
      <c r="P59" s="1022"/>
      <c r="Q59" s="1023"/>
    </row>
    <row r="60" spans="2:17" ht="15" customHeight="1">
      <c r="B60" s="638" t="s">
        <v>326</v>
      </c>
      <c r="C60" s="645">
        <v>20</v>
      </c>
      <c r="K60" s="1021"/>
      <c r="L60" s="1022"/>
      <c r="M60" s="1022"/>
      <c r="N60" s="1022"/>
      <c r="O60" s="1022"/>
      <c r="P60" s="1022"/>
      <c r="Q60" s="1023"/>
    </row>
    <row r="61" spans="2:17" ht="15" customHeight="1">
      <c r="B61" s="639" t="s">
        <v>1158</v>
      </c>
      <c r="C61" s="645">
        <v>0</v>
      </c>
      <c r="K61" s="1021"/>
      <c r="L61" s="1022"/>
      <c r="M61" s="1022"/>
      <c r="N61" s="1022"/>
      <c r="O61" s="1022"/>
      <c r="P61" s="1022"/>
      <c r="Q61" s="1023"/>
    </row>
    <row r="62" spans="2:17" ht="15" customHeight="1">
      <c r="B62" s="669" t="s">
        <v>331</v>
      </c>
      <c r="C62" s="647">
        <v>24</v>
      </c>
      <c r="K62" s="1021"/>
      <c r="L62" s="1022"/>
      <c r="M62" s="1022"/>
      <c r="N62" s="1022"/>
      <c r="O62" s="1022"/>
      <c r="P62" s="1022"/>
      <c r="Q62" s="1023"/>
    </row>
    <row r="63" spans="2:17" ht="15" customHeight="1" thickBot="1">
      <c r="B63" s="671" t="s">
        <v>961</v>
      </c>
      <c r="C63" s="672">
        <f>C55+C56+C57+C58+C59+C60+C61+C62</f>
        <v>149</v>
      </c>
      <c r="K63" s="1021"/>
      <c r="L63" s="1022"/>
      <c r="M63" s="1022"/>
      <c r="N63" s="1022"/>
      <c r="O63" s="1022"/>
      <c r="P63" s="1022"/>
      <c r="Q63" s="1023"/>
    </row>
    <row r="64" spans="2:17" ht="13.5" thickBot="1">
      <c r="B64" s="658" t="s">
        <v>327</v>
      </c>
      <c r="C64" s="646">
        <f>C51+C54+C63</f>
        <v>154</v>
      </c>
      <c r="K64" s="1024"/>
      <c r="L64" s="1025"/>
      <c r="M64" s="1025"/>
      <c r="N64" s="1025"/>
      <c r="O64" s="1025"/>
      <c r="P64" s="1025"/>
      <c r="Q64" s="1026"/>
    </row>
    <row r="66" spans="2:17" ht="13.5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K45:Q45"/>
    <mergeCell ref="K49:Q49"/>
    <mergeCell ref="K50:Q50"/>
    <mergeCell ref="K51:Q51"/>
    <mergeCell ref="K52:Q52"/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5"/>
  <cols>
    <col min="1" max="1" width="46.08984375" customWidth="1"/>
    <col min="2" max="2" width="28.54296875" customWidth="1"/>
    <col min="3" max="3" width="74.08984375" customWidth="1"/>
    <col min="4" max="4" width="31.90625" customWidth="1"/>
    <col min="5" max="5" width="15.453125" customWidth="1"/>
    <col min="6" max="6" width="29.08984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1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0.5" thickBot="1">
      <c r="A2" s="27"/>
      <c r="B2" s="1134" t="str">
        <f>'Infra Build BOQ'!B2:I2</f>
        <v>56K0000005_R1  /  56K0000005_R1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098" t="str">
        <f>'Infra Build BOQ'!F3:K3</f>
        <v>K1SITA013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101" t="str">
        <f>'Infra Build BOQ'!F4:K4</f>
        <v>Ethekwini</v>
      </c>
      <c r="G4" s="1102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'EXE Dashboard'!C22</f>
        <v>0</v>
      </c>
      <c r="D5" s="1145" t="s">
        <v>3</v>
      </c>
      <c r="E5" s="1189"/>
      <c r="F5" s="1104" t="str">
        <f>'Infra Build BOQ'!F5:K5</f>
        <v>23/08/2023</v>
      </c>
      <c r="G5" s="1105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49" t="str">
        <f>'Infra Build BOQ'!F6</f>
        <v>Siltek House - Phoenix Welfare</v>
      </c>
      <c r="G6" s="1193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128"/>
      <c r="G8" s="1128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128"/>
      <c r="G9" s="1128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1196"/>
      <c r="G11" s="1196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0</v>
      </c>
      <c r="G14" s="957">
        <f>'Infra Build BOQ'!G15</f>
        <v>0</v>
      </c>
      <c r="H14" s="958">
        <f>'Infra Build BOQ'!T15</f>
        <v>0</v>
      </c>
      <c r="I14" s="959">
        <f>'Infra Build BOQ'!U15</f>
        <v>0</v>
      </c>
      <c r="J14" s="960">
        <f>'Infra Build BOQ'!V15</f>
        <v>0</v>
      </c>
      <c r="K14" s="961">
        <f>'Infra Build BOQ'!W15</f>
        <v>0</v>
      </c>
      <c r="L14" s="958">
        <f>'Infra Build BOQ'!X15</f>
        <v>0</v>
      </c>
      <c r="M14" s="959">
        <f>'Infra Build BOQ'!Y15</f>
        <v>0</v>
      </c>
      <c r="N14" s="960">
        <f>'Infra Build BOQ'!Z15</f>
        <v>0</v>
      </c>
      <c r="O14" s="961">
        <f>'Infra Build BOQ'!AA15</f>
        <v>0</v>
      </c>
      <c r="P14" s="958">
        <f>'Infra Build BOQ'!AB15</f>
        <v>0</v>
      </c>
      <c r="Q14" s="959">
        <f>'Infra Build BOQ'!AC15</f>
        <v>0</v>
      </c>
      <c r="R14" s="960">
        <f>'Infra Build BOQ'!AD15</f>
        <v>0</v>
      </c>
      <c r="S14" s="961">
        <f>'Infra Build BOQ'!AE15</f>
        <v>0</v>
      </c>
      <c r="T14" s="958">
        <f>'Infra Build BOQ'!AF15</f>
        <v>0</v>
      </c>
      <c r="U14" s="959">
        <f>'Infra Build BOQ'!AG15</f>
        <v>0</v>
      </c>
      <c r="V14" s="960">
        <f>'Infra Build BOQ'!AH15</f>
        <v>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6</v>
      </c>
      <c r="G18" s="957">
        <f>'Infra Build BOQ'!G19</f>
        <v>361.38</v>
      </c>
      <c r="H18" s="973">
        <f>'Infra Build BOQ'!T19</f>
        <v>0</v>
      </c>
      <c r="I18" s="974">
        <f>'Infra Build BOQ'!U19</f>
        <v>6</v>
      </c>
      <c r="J18" s="975">
        <f>'Infra Build BOQ'!V19</f>
        <v>361.38</v>
      </c>
      <c r="K18" s="976">
        <f>'Infra Build BOQ'!W19</f>
        <v>0</v>
      </c>
      <c r="L18" s="973">
        <f>'Infra Build BOQ'!X19</f>
        <v>0</v>
      </c>
      <c r="M18" s="974">
        <f>'Infra Build BOQ'!Y19</f>
        <v>6</v>
      </c>
      <c r="N18" s="975">
        <f>'Infra Build BOQ'!Z19</f>
        <v>361.38</v>
      </c>
      <c r="O18" s="976">
        <f>'Infra Build BOQ'!AA19</f>
        <v>0</v>
      </c>
      <c r="P18" s="973">
        <f>'Infra Build BOQ'!AB19</f>
        <v>0</v>
      </c>
      <c r="Q18" s="974">
        <f>'Infra Build BOQ'!AC19</f>
        <v>6</v>
      </c>
      <c r="R18" s="975">
        <f>'Infra Build BOQ'!AD19</f>
        <v>361.38</v>
      </c>
      <c r="S18" s="976">
        <f>'Infra Build BOQ'!AE19</f>
        <v>0</v>
      </c>
      <c r="T18" s="973">
        <f>'Infra Build BOQ'!AF19</f>
        <v>0</v>
      </c>
      <c r="U18" s="974">
        <f>'Infra Build BOQ'!AG19</f>
        <v>6</v>
      </c>
      <c r="V18" s="975">
        <f>'Infra Build BOQ'!AH19</f>
        <v>361.38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55</v>
      </c>
      <c r="G21" s="957">
        <f>'Infra Build BOQ'!G22</f>
        <v>1905.75</v>
      </c>
      <c r="H21" s="973">
        <f>'Infra Build BOQ'!T22</f>
        <v>0</v>
      </c>
      <c r="I21" s="974">
        <f>'Infra Build BOQ'!U22</f>
        <v>55</v>
      </c>
      <c r="J21" s="975">
        <f>'Infra Build BOQ'!V22</f>
        <v>1905.75</v>
      </c>
      <c r="K21" s="976">
        <f>'Infra Build BOQ'!W22</f>
        <v>0</v>
      </c>
      <c r="L21" s="973">
        <f>'Infra Build BOQ'!X22</f>
        <v>0</v>
      </c>
      <c r="M21" s="974">
        <f>'Infra Build BOQ'!Y22</f>
        <v>55</v>
      </c>
      <c r="N21" s="975">
        <f>'Infra Build BOQ'!Z22</f>
        <v>1905.75</v>
      </c>
      <c r="O21" s="976">
        <f>'Infra Build BOQ'!AA22</f>
        <v>0</v>
      </c>
      <c r="P21" s="973">
        <f>'Infra Build BOQ'!AB22</f>
        <v>0</v>
      </c>
      <c r="Q21" s="974">
        <f>'Infra Build BOQ'!AC22</f>
        <v>55</v>
      </c>
      <c r="R21" s="975">
        <f>'Infra Build BOQ'!AD22</f>
        <v>1905.75</v>
      </c>
      <c r="S21" s="976">
        <f>'Infra Build BOQ'!AE22</f>
        <v>0</v>
      </c>
      <c r="T21" s="973">
        <f>'Infra Build BOQ'!AF22</f>
        <v>0</v>
      </c>
      <c r="U21" s="974">
        <f>'Infra Build BOQ'!AG22</f>
        <v>55</v>
      </c>
      <c r="V21" s="975">
        <f>'Infra Build BOQ'!AH22</f>
        <v>1905.75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18</v>
      </c>
      <c r="G60" s="957">
        <f>'Infra Build BOQ'!G61</f>
        <v>513</v>
      </c>
      <c r="H60" s="973">
        <f>'Infra Build BOQ'!T61</f>
        <v>0</v>
      </c>
      <c r="I60" s="974">
        <f>'Infra Build BOQ'!U61</f>
        <v>18</v>
      </c>
      <c r="J60" s="975">
        <f>'Infra Build BOQ'!V61</f>
        <v>513</v>
      </c>
      <c r="K60" s="976">
        <f>'Infra Build BOQ'!W61</f>
        <v>0</v>
      </c>
      <c r="L60" s="973">
        <f>'Infra Build BOQ'!X61</f>
        <v>0</v>
      </c>
      <c r="M60" s="974">
        <f>'Infra Build BOQ'!Y61</f>
        <v>18</v>
      </c>
      <c r="N60" s="975">
        <f>'Infra Build BOQ'!Z61</f>
        <v>513</v>
      </c>
      <c r="O60" s="976">
        <f>'Infra Build BOQ'!AA61</f>
        <v>0</v>
      </c>
      <c r="P60" s="973">
        <f>'Infra Build BOQ'!AB61</f>
        <v>0</v>
      </c>
      <c r="Q60" s="974">
        <f>'Infra Build BOQ'!AC61</f>
        <v>18</v>
      </c>
      <c r="R60" s="975">
        <f>'Infra Build BOQ'!AD61</f>
        <v>513</v>
      </c>
      <c r="S60" s="976">
        <f>'Infra Build BOQ'!AE61</f>
        <v>0</v>
      </c>
      <c r="T60" s="973">
        <f>'Infra Build BOQ'!AF61</f>
        <v>0</v>
      </c>
      <c r="U60" s="974">
        <f>'Infra Build BOQ'!AG61</f>
        <v>18</v>
      </c>
      <c r="V60" s="975">
        <f>'Infra Build BOQ'!AH61</f>
        <v>513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0</v>
      </c>
      <c r="G63" s="957">
        <f>'Infra Build BOQ'!G64</f>
        <v>0</v>
      </c>
      <c r="H63" s="973">
        <f>'Infra Build BOQ'!T64</f>
        <v>0</v>
      </c>
      <c r="I63" s="974">
        <f>'Infra Build BOQ'!U64</f>
        <v>0</v>
      </c>
      <c r="J63" s="975">
        <f>'Infra Build BOQ'!V64</f>
        <v>0</v>
      </c>
      <c r="K63" s="976">
        <f>'Infra Build BOQ'!W64</f>
        <v>0</v>
      </c>
      <c r="L63" s="973">
        <f>'Infra Build BOQ'!X64</f>
        <v>0</v>
      </c>
      <c r="M63" s="974">
        <f>'Infra Build BOQ'!Y64</f>
        <v>0</v>
      </c>
      <c r="N63" s="975">
        <f>'Infra Build BOQ'!Z64</f>
        <v>0</v>
      </c>
      <c r="O63" s="976">
        <f>'Infra Build BOQ'!AA64</f>
        <v>0</v>
      </c>
      <c r="P63" s="973">
        <f>'Infra Build BOQ'!AB64</f>
        <v>0</v>
      </c>
      <c r="Q63" s="974">
        <f>'Infra Build BOQ'!AC64</f>
        <v>0</v>
      </c>
      <c r="R63" s="975">
        <f>'Infra Build BOQ'!AD64</f>
        <v>0</v>
      </c>
      <c r="S63" s="976">
        <f>'Infra Build BOQ'!AE64</f>
        <v>0</v>
      </c>
      <c r="T63" s="973">
        <f>'Infra Build BOQ'!AF64</f>
        <v>0</v>
      </c>
      <c r="U63" s="974">
        <f>'Infra Build BOQ'!AG64</f>
        <v>0</v>
      </c>
      <c r="V63" s="975">
        <f>'Infra Build BOQ'!AH64</f>
        <v>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55</v>
      </c>
      <c r="G65" s="957">
        <f>'Infra Build BOQ'!G66</f>
        <v>165</v>
      </c>
      <c r="H65" s="973">
        <f>'Infra Build BOQ'!T66</f>
        <v>0</v>
      </c>
      <c r="I65" s="974">
        <f>'Infra Build BOQ'!U66</f>
        <v>55</v>
      </c>
      <c r="J65" s="975">
        <f>'Infra Build BOQ'!V66</f>
        <v>165</v>
      </c>
      <c r="K65" s="976">
        <f>'Infra Build BOQ'!W66</f>
        <v>0</v>
      </c>
      <c r="L65" s="973">
        <f>'Infra Build BOQ'!X66</f>
        <v>0</v>
      </c>
      <c r="M65" s="974">
        <f>'Infra Build BOQ'!Y66</f>
        <v>55</v>
      </c>
      <c r="N65" s="975">
        <f>'Infra Build BOQ'!Z66</f>
        <v>165</v>
      </c>
      <c r="O65" s="976">
        <f>'Infra Build BOQ'!AA66</f>
        <v>0</v>
      </c>
      <c r="P65" s="973">
        <f>'Infra Build BOQ'!AB66</f>
        <v>0</v>
      </c>
      <c r="Q65" s="974">
        <f>'Infra Build BOQ'!AC66</f>
        <v>55</v>
      </c>
      <c r="R65" s="975">
        <f>'Infra Build BOQ'!AD66</f>
        <v>165</v>
      </c>
      <c r="S65" s="976">
        <f>'Infra Build BOQ'!AE66</f>
        <v>0</v>
      </c>
      <c r="T65" s="973">
        <f>'Infra Build BOQ'!AF66</f>
        <v>0</v>
      </c>
      <c r="U65" s="974">
        <f>'Infra Build BOQ'!AG66</f>
        <v>55</v>
      </c>
      <c r="V65" s="975">
        <f>'Infra Build BOQ'!AH66</f>
        <v>165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60</v>
      </c>
      <c r="G69" s="957">
        <f>'Infra Build BOQ'!G70</f>
        <v>450</v>
      </c>
      <c r="H69" s="973">
        <f>'Infra Build BOQ'!T70</f>
        <v>0</v>
      </c>
      <c r="I69" s="974">
        <f>'Infra Build BOQ'!U70</f>
        <v>60</v>
      </c>
      <c r="J69" s="975">
        <f>'Infra Build BOQ'!V70</f>
        <v>450</v>
      </c>
      <c r="K69" s="976">
        <f>'Infra Build BOQ'!W70</f>
        <v>0</v>
      </c>
      <c r="L69" s="973">
        <f>'Infra Build BOQ'!X70</f>
        <v>0</v>
      </c>
      <c r="M69" s="974">
        <f>'Infra Build BOQ'!Y70</f>
        <v>60</v>
      </c>
      <c r="N69" s="975">
        <f>'Infra Build BOQ'!Z70</f>
        <v>450</v>
      </c>
      <c r="O69" s="976">
        <f>'Infra Build BOQ'!AA70</f>
        <v>0</v>
      </c>
      <c r="P69" s="973">
        <f>'Infra Build BOQ'!AB70</f>
        <v>0</v>
      </c>
      <c r="Q69" s="974">
        <f>'Infra Build BOQ'!AC70</f>
        <v>60</v>
      </c>
      <c r="R69" s="975">
        <f>'Infra Build BOQ'!AD70</f>
        <v>450</v>
      </c>
      <c r="S69" s="976">
        <f>'Infra Build BOQ'!AE70</f>
        <v>0</v>
      </c>
      <c r="T69" s="973">
        <f>'Infra Build BOQ'!AF70</f>
        <v>0</v>
      </c>
      <c r="U69" s="974">
        <f>'Infra Build BOQ'!AG70</f>
        <v>60</v>
      </c>
      <c r="V69" s="975">
        <f>'Infra Build BOQ'!AH70</f>
        <v>450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0</v>
      </c>
      <c r="G79" s="957">
        <f>'Infra Build BOQ'!G83</f>
        <v>0</v>
      </c>
      <c r="H79" s="973">
        <f>'Infra Build BOQ'!T83</f>
        <v>0</v>
      </c>
      <c r="I79" s="974">
        <f>'Infra Build BOQ'!U83</f>
        <v>0</v>
      </c>
      <c r="J79" s="975">
        <f>'Infra Build BOQ'!V83</f>
        <v>0</v>
      </c>
      <c r="K79" s="985">
        <f>'Infra Build BOQ'!W83</f>
        <v>0</v>
      </c>
      <c r="L79" s="973">
        <f>'Infra Build BOQ'!X83</f>
        <v>0</v>
      </c>
      <c r="M79" s="974">
        <f>'Infra Build BOQ'!Y83</f>
        <v>0</v>
      </c>
      <c r="N79" s="975">
        <f>'Infra Build BOQ'!Z83</f>
        <v>0</v>
      </c>
      <c r="O79" s="985">
        <f>'Infra Build BOQ'!AA83</f>
        <v>0</v>
      </c>
      <c r="P79" s="973">
        <f>'Infra Build BOQ'!AB83</f>
        <v>0</v>
      </c>
      <c r="Q79" s="974">
        <f>'Infra Build BOQ'!AC83</f>
        <v>0</v>
      </c>
      <c r="R79" s="975">
        <f>'Infra Build BOQ'!AD83</f>
        <v>0</v>
      </c>
      <c r="S79" s="985">
        <f>'Infra Build BOQ'!AE83</f>
        <v>0</v>
      </c>
      <c r="T79" s="973">
        <f>'Infra Build BOQ'!AF83</f>
        <v>0</v>
      </c>
      <c r="U79" s="974">
        <f>'Infra Build BOQ'!AG83</f>
        <v>0</v>
      </c>
      <c r="V79" s="975">
        <f>'Infra Build BOQ'!AH83</f>
        <v>0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 ht="13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 ht="13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 ht="13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 ht="13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 ht="13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 ht="13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 ht="13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 ht="13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 ht="13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 ht="13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 ht="13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 ht="13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 ht="13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 ht="13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 ht="13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 ht="13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20</v>
      </c>
      <c r="G109" s="957">
        <f>'Infra Build BOQ'!G128</f>
        <v>327.8</v>
      </c>
      <c r="H109" s="973">
        <f>'Infra Build BOQ'!T128</f>
        <v>0</v>
      </c>
      <c r="I109" s="974">
        <f>'Infra Build BOQ'!U128</f>
        <v>20</v>
      </c>
      <c r="J109" s="975">
        <f>'Infra Build BOQ'!V128</f>
        <v>327.8</v>
      </c>
      <c r="K109" s="976">
        <f>'Infra Build BOQ'!W128</f>
        <v>0</v>
      </c>
      <c r="L109" s="973">
        <f>'Infra Build BOQ'!X128</f>
        <v>0</v>
      </c>
      <c r="M109" s="974">
        <f>'Infra Build BOQ'!Y128</f>
        <v>20</v>
      </c>
      <c r="N109" s="975">
        <f>'Infra Build BOQ'!Z128</f>
        <v>327.8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20</v>
      </c>
      <c r="R109" s="975">
        <f>'Infra Build BOQ'!AD128</f>
        <v>327.8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20</v>
      </c>
      <c r="V109" s="975">
        <f>'Infra Build BOQ'!AH128</f>
        <v>327.8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114</v>
      </c>
      <c r="G124" s="957">
        <f>'Infra Build BOQ'!G143</f>
        <v>741</v>
      </c>
      <c r="H124" s="973">
        <f>'Infra Build BOQ'!T143</f>
        <v>0</v>
      </c>
      <c r="I124" s="974">
        <f>'Infra Build BOQ'!U143</f>
        <v>114</v>
      </c>
      <c r="J124" s="975">
        <f>'Infra Build BOQ'!V143</f>
        <v>741</v>
      </c>
      <c r="K124" s="976">
        <f>'Infra Build BOQ'!W143</f>
        <v>0</v>
      </c>
      <c r="L124" s="973">
        <f>'Infra Build BOQ'!X143</f>
        <v>0</v>
      </c>
      <c r="M124" s="974">
        <f>'Infra Build BOQ'!Y143</f>
        <v>114</v>
      </c>
      <c r="N124" s="975">
        <f>'Infra Build BOQ'!Z143</f>
        <v>741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114</v>
      </c>
      <c r="R124" s="975">
        <f>'Infra Build BOQ'!AD143</f>
        <v>741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114</v>
      </c>
      <c r="V124" s="975">
        <f>'Infra Build BOQ'!AH143</f>
        <v>741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94</v>
      </c>
      <c r="G125" s="957">
        <f>'Infra Build BOQ'!G144</f>
        <v>611</v>
      </c>
      <c r="H125" s="973">
        <f>'Infra Build BOQ'!T144</f>
        <v>0</v>
      </c>
      <c r="I125" s="974">
        <f>'Infra Build BOQ'!U144</f>
        <v>94</v>
      </c>
      <c r="J125" s="975">
        <f>'Infra Build BOQ'!V144</f>
        <v>611</v>
      </c>
      <c r="K125" s="976">
        <f>'Infra Build BOQ'!W144</f>
        <v>0</v>
      </c>
      <c r="L125" s="973">
        <f>'Infra Build BOQ'!X144</f>
        <v>0</v>
      </c>
      <c r="M125" s="974">
        <f>'Infra Build BOQ'!Y144</f>
        <v>94</v>
      </c>
      <c r="N125" s="975">
        <f>'Infra Build BOQ'!Z144</f>
        <v>611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94</v>
      </c>
      <c r="R125" s="975">
        <f>'Infra Build BOQ'!AD144</f>
        <v>611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94</v>
      </c>
      <c r="V125" s="975">
        <f>'Infra Build BOQ'!AH144</f>
        <v>611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4</v>
      </c>
      <c r="G126" s="957">
        <f>'Infra Build BOQ'!G145</f>
        <v>65.56</v>
      </c>
      <c r="H126" s="973">
        <f>'Infra Build BOQ'!T145</f>
        <v>0</v>
      </c>
      <c r="I126" s="974">
        <f>'Infra Build BOQ'!U145</f>
        <v>4</v>
      </c>
      <c r="J126" s="975">
        <f>'Infra Build BOQ'!V145</f>
        <v>65.56</v>
      </c>
      <c r="K126" s="976">
        <f>'Infra Build BOQ'!W145</f>
        <v>0</v>
      </c>
      <c r="L126" s="973">
        <f>'Infra Build BOQ'!X145</f>
        <v>0</v>
      </c>
      <c r="M126" s="974">
        <f>'Infra Build BOQ'!Y145</f>
        <v>4</v>
      </c>
      <c r="N126" s="975">
        <f>'Infra Build BOQ'!Z145</f>
        <v>65.56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4</v>
      </c>
      <c r="R126" s="975">
        <f>'Infra Build BOQ'!AD145</f>
        <v>65.56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4</v>
      </c>
      <c r="V126" s="975">
        <f>'Infra Build BOQ'!AH145</f>
        <v>65.56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5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19</v>
      </c>
      <c r="G140" s="957">
        <f>'Infra Build BOQ'!G159</f>
        <v>475</v>
      </c>
      <c r="H140" s="973">
        <f>'Infra Build BOQ'!T159</f>
        <v>0</v>
      </c>
      <c r="I140" s="974">
        <f>'Infra Build BOQ'!U159</f>
        <v>19</v>
      </c>
      <c r="J140" s="975">
        <f>'Infra Build BOQ'!V159</f>
        <v>475</v>
      </c>
      <c r="K140" s="976">
        <f>'Infra Build BOQ'!W159</f>
        <v>0</v>
      </c>
      <c r="L140" s="973">
        <f>'Infra Build BOQ'!X159</f>
        <v>0</v>
      </c>
      <c r="M140" s="974">
        <f>'Infra Build BOQ'!Y159</f>
        <v>19</v>
      </c>
      <c r="N140" s="975">
        <f>'Infra Build BOQ'!Z159</f>
        <v>475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19</v>
      </c>
      <c r="R140" s="975">
        <f>'Infra Build BOQ'!AD159</f>
        <v>475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19</v>
      </c>
      <c r="V140" s="975">
        <f>'Infra Build BOQ'!AH159</f>
        <v>475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5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5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5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5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5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5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5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5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5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5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5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5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5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9" thickBot="1">
      <c r="B199" s="145"/>
      <c r="C199" s="161"/>
      <c r="D199" s="145"/>
      <c r="E199" s="144" t="s">
        <v>5</v>
      </c>
      <c r="F199" s="174"/>
      <c r="G199" s="146">
        <f>SUM(G13:G198)</f>
        <v>6364.38</v>
      </c>
      <c r="H199" s="145"/>
      <c r="I199" s="147"/>
      <c r="J199" s="148">
        <f>SUM(J13:J198)</f>
        <v>6364.38</v>
      </c>
      <c r="K199" s="145"/>
      <c r="L199" s="145"/>
      <c r="M199" s="147"/>
      <c r="N199" s="148">
        <f>SUM(N13:N198)</f>
        <v>6364.38</v>
      </c>
      <c r="R199" s="150">
        <f>SUM(R13:R198)</f>
        <v>6364.38</v>
      </c>
      <c r="V199" s="150">
        <f>SUM(V13:V198)</f>
        <v>6364.38</v>
      </c>
      <c r="Y199" s="150">
        <f>SUM(Y13:Y198)</f>
        <v>0</v>
      </c>
    </row>
    <row r="200" spans="1:26" s="151" customFormat="1" ht="14.5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-6364.38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94"/>
      <c r="E205" s="1194"/>
      <c r="F205" s="1194"/>
      <c r="G205" s="12"/>
      <c r="H205" s="10"/>
      <c r="I205" s="10"/>
    </row>
    <row r="206" spans="1:26" ht="18">
      <c r="A206" s="10"/>
      <c r="B206" s="10"/>
      <c r="C206" s="11"/>
      <c r="D206" s="1194"/>
      <c r="E206" s="1194"/>
      <c r="F206" s="1194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D205:F205"/>
    <mergeCell ref="D206:F206"/>
    <mergeCell ref="B2:G2"/>
    <mergeCell ref="F8:G8"/>
    <mergeCell ref="F9:G9"/>
    <mergeCell ref="B11:G11"/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4" t="str">
        <f>'Infra Build BOQ'!B2:I2</f>
        <v>56K0000005_R1  /  56K0000005_R1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099" t="str">
        <f>'Infra Build BOQ'!F3</f>
        <v>K1SITA013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101" t="str">
        <f>'Infra Build BOQ'!F4</f>
        <v>Ethekwini</v>
      </c>
      <c r="G4" s="1103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104" t="str">
        <f>'Infra Build BOQ'!F5</f>
        <v>23/08/2023</v>
      </c>
      <c r="G5" s="1106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49" t="str">
        <f>'Infra Build BOQ'!F6</f>
        <v>Siltek House - Phoenix Welfare</v>
      </c>
      <c r="G6" s="1150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128"/>
      <c r="G8" s="1128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128"/>
      <c r="G9" s="1128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1196"/>
      <c r="G11" s="1196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9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5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94"/>
      <c r="E38" s="1194"/>
      <c r="F38" s="10"/>
      <c r="G38" s="15"/>
      <c r="H38" s="10"/>
      <c r="I38" s="10"/>
    </row>
    <row r="39" spans="1:25" ht="18">
      <c r="A39" s="10"/>
      <c r="B39" s="10"/>
      <c r="C39" s="11"/>
      <c r="D39" s="1194"/>
      <c r="E39" s="1194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  <mergeCell ref="D6:E6"/>
    <mergeCell ref="B11:G11"/>
    <mergeCell ref="H11:Z11"/>
    <mergeCell ref="D38:E38"/>
    <mergeCell ref="D39:E3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4" t="str">
        <f>'Infra Build BOQ'!B2:I2</f>
        <v>56K0000005_R1  /  56K0000005_R1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099" t="str">
        <f>'Infra Build BOQ'!F3</f>
        <v>K1SITA013</v>
      </c>
      <c r="G3" s="1100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102" t="str">
        <f>'Infra Build BOQ'!F4</f>
        <v>Ethekwini</v>
      </c>
      <c r="G4" s="1103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105" t="str">
        <f>'Infra Build BOQ'!F5</f>
        <v>23/08/2023</v>
      </c>
      <c r="G5" s="1106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93" t="str">
        <f>'Infra Build BOQ'!F6</f>
        <v>Siltek House - Phoenix Welfare</v>
      </c>
      <c r="G6" s="1197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132"/>
      <c r="G11" s="132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 ht="13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6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9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5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94"/>
      <c r="E31" s="1194"/>
      <c r="H31" s="10"/>
      <c r="I31" s="10"/>
    </row>
    <row r="32" spans="1:26" ht="18">
      <c r="A32" s="10"/>
      <c r="B32" s="10"/>
      <c r="C32" s="11"/>
      <c r="D32" s="1194"/>
      <c r="E32" s="1194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4" t="str">
        <f>'Infra Build BOQ'!B2:I2</f>
        <v>56K0000005_R1  /  56K0000005_R1</v>
      </c>
      <c r="C2" s="1135"/>
      <c r="D2" s="1135"/>
      <c r="E2" s="1135"/>
      <c r="F2" s="110"/>
      <c r="G2" s="110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099" t="str">
        <f>'Infra Build BOQ'!F3</f>
        <v>K1SITA013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102" t="str">
        <f>'Infra Build BOQ'!F4</f>
        <v>Ethekwini</v>
      </c>
      <c r="G4" s="1102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105" t="str">
        <f>'Infra Build BOQ'!F5</f>
        <v>23/08/2023</v>
      </c>
      <c r="G5" s="1105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93" t="str">
        <f>'Infra Build BOQ'!F6</f>
        <v>Siltek House - Phoenix Welfare</v>
      </c>
      <c r="G6" s="1193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93"/>
      <c r="G11" s="93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0</v>
      </c>
      <c r="G17" s="106">
        <f>'Infra Build BOQ'!M84</f>
        <v>0</v>
      </c>
      <c r="H17" s="91">
        <f>'Infra Build BOQ'!T84</f>
        <v>0</v>
      </c>
      <c r="I17" s="101">
        <f>'Infra Build BOQ'!U84</f>
        <v>0</v>
      </c>
      <c r="J17" s="117">
        <f>'Infra Build BOQ'!V84</f>
        <v>0</v>
      </c>
      <c r="K17" s="159">
        <f>'Infra Build BOQ'!W84</f>
        <v>0</v>
      </c>
      <c r="L17" s="91">
        <f>'Infra Build BOQ'!X84</f>
        <v>0</v>
      </c>
      <c r="M17" s="101">
        <f>'Infra Build BOQ'!Y84</f>
        <v>0</v>
      </c>
      <c r="N17" s="117">
        <f>'Infra Build BOQ'!Z84</f>
        <v>0</v>
      </c>
      <c r="O17" s="159">
        <f>'Infra Build BOQ'!AA84</f>
        <v>0</v>
      </c>
      <c r="P17" s="91">
        <f>'Infra Build BOQ'!AB84</f>
        <v>0</v>
      </c>
      <c r="Q17" s="101">
        <f>'Infra Build BOQ'!AC84</f>
        <v>0</v>
      </c>
      <c r="R17" s="117">
        <f>'Infra Build BOQ'!AD84</f>
        <v>0</v>
      </c>
      <c r="S17" s="159">
        <f>'Infra Build BOQ'!AE84</f>
        <v>0</v>
      </c>
      <c r="T17" s="91">
        <f>'Infra Build BOQ'!AF84</f>
        <v>0</v>
      </c>
      <c r="U17" s="101">
        <f>'Infra Build BOQ'!AG84</f>
        <v>0</v>
      </c>
      <c r="V17" s="117">
        <f>'Infra Build BOQ'!AH84</f>
        <v>0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18</v>
      </c>
      <c r="G20" s="106">
        <f>'Infra Build BOQ'!M87</f>
        <v>1710</v>
      </c>
      <c r="H20" s="91">
        <f>'Infra Build BOQ'!T87</f>
        <v>0</v>
      </c>
      <c r="I20" s="101">
        <f>'Infra Build BOQ'!U87</f>
        <v>18</v>
      </c>
      <c r="J20" s="117">
        <f>'Infra Build BOQ'!V87</f>
        <v>1710</v>
      </c>
      <c r="K20" s="159">
        <f>'Infra Build BOQ'!W87</f>
        <v>0</v>
      </c>
      <c r="L20" s="91">
        <f>'Infra Build BOQ'!X87</f>
        <v>0</v>
      </c>
      <c r="M20" s="101">
        <f>'Infra Build BOQ'!Y87</f>
        <v>18</v>
      </c>
      <c r="N20" s="117">
        <f>'Infra Build BOQ'!Z87</f>
        <v>1710</v>
      </c>
      <c r="O20" s="159">
        <f>'Infra Build BOQ'!AA87</f>
        <v>0</v>
      </c>
      <c r="P20" s="91">
        <f>'Infra Build BOQ'!AB87</f>
        <v>0</v>
      </c>
      <c r="Q20" s="101">
        <f>'Infra Build BOQ'!AC87</f>
        <v>18</v>
      </c>
      <c r="R20" s="117">
        <f>'Infra Build BOQ'!AD87</f>
        <v>1710</v>
      </c>
      <c r="S20" s="159">
        <f>'Infra Build BOQ'!AE87</f>
        <v>0</v>
      </c>
      <c r="T20" s="91">
        <f>'Infra Build BOQ'!AF87</f>
        <v>0</v>
      </c>
      <c r="U20" s="101">
        <f>'Infra Build BOQ'!AG87</f>
        <v>18</v>
      </c>
      <c r="V20" s="117">
        <f>'Infra Build BOQ'!AH87</f>
        <v>1710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9" thickBot="1">
      <c r="B24" s="145"/>
      <c r="C24" s="161"/>
      <c r="D24" s="145"/>
      <c r="E24" s="144" t="s">
        <v>5</v>
      </c>
      <c r="F24" s="145"/>
      <c r="G24" s="146">
        <f>SUM(G13:G23)</f>
        <v>1710</v>
      </c>
      <c r="H24" s="145"/>
      <c r="I24" s="147"/>
      <c r="J24" s="148">
        <f>SUM(J13:J23)</f>
        <v>1710</v>
      </c>
      <c r="K24" s="145"/>
      <c r="L24" s="145"/>
      <c r="M24" s="147"/>
      <c r="N24" s="148">
        <f>SUM(N13:N23)</f>
        <v>1710</v>
      </c>
      <c r="R24" s="150">
        <f>SUM(R13:R23)</f>
        <v>1710</v>
      </c>
      <c r="V24" s="150">
        <f>SUM(V13:V23)</f>
        <v>1710</v>
      </c>
      <c r="Y24" s="150">
        <f>SUM(Y13:Y23)</f>
        <v>0</v>
      </c>
    </row>
    <row r="25" spans="1:26" s="151" customFormat="1" ht="14.5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-1710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94"/>
      <c r="E30" s="1194"/>
      <c r="H30" s="10"/>
      <c r="I30" s="10"/>
    </row>
    <row r="31" spans="1:26" ht="18">
      <c r="A31" s="10"/>
      <c r="B31" s="10"/>
      <c r="C31" s="11"/>
      <c r="D31" s="1194"/>
      <c r="E31" s="1194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4" t="str">
        <f>'Infra Build BOQ'!B2:I2</f>
        <v>56K0000005_R1  /  56K0000005_R1</v>
      </c>
      <c r="C2" s="1135"/>
      <c r="D2" s="1135"/>
      <c r="E2" s="1135"/>
      <c r="F2" s="110"/>
      <c r="G2" s="110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198" t="str">
        <f>'Infra Build BOQ'!F3</f>
        <v>K1SITA013</v>
      </c>
      <c r="G3" s="11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200" t="str">
        <f>'Infra Build BOQ'!F4</f>
        <v>Ethekwini</v>
      </c>
      <c r="G4" s="1201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202" t="str">
        <f>'Infra Build BOQ'!F5</f>
        <v>23/08/2023</v>
      </c>
      <c r="G5" s="1203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204" t="str">
        <f>'Infra Build BOQ'!F6</f>
        <v>Siltek House - Phoenix Welfare</v>
      </c>
      <c r="G6" s="1205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93"/>
      <c r="G11" s="93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80</v>
      </c>
      <c r="G21" s="106">
        <f>'Infra Build BOQ'!O163</f>
        <v>360</v>
      </c>
      <c r="H21" s="91">
        <f>'Infra Build BOQ'!T163</f>
        <v>0</v>
      </c>
      <c r="I21" s="101">
        <f>'Infra Build BOQ'!U163</f>
        <v>80</v>
      </c>
      <c r="J21" s="117">
        <f>'Infra Build BOQ'!V163</f>
        <v>360</v>
      </c>
      <c r="K21" s="599">
        <f>'Infra Build BOQ'!W163</f>
        <v>0</v>
      </c>
      <c r="L21" s="91">
        <f>'Infra Build BOQ'!X163</f>
        <v>0</v>
      </c>
      <c r="M21" s="101">
        <f>'Infra Build BOQ'!Y163</f>
        <v>80</v>
      </c>
      <c r="N21" s="117">
        <f>'Infra Build BOQ'!Z163</f>
        <v>360</v>
      </c>
      <c r="O21" s="599">
        <f>'Infra Build BOQ'!AA163</f>
        <v>0</v>
      </c>
      <c r="P21" s="91">
        <f>'Infra Build BOQ'!AB163</f>
        <v>0</v>
      </c>
      <c r="Q21" s="101">
        <f>'Infra Build BOQ'!AC163</f>
        <v>80</v>
      </c>
      <c r="R21" s="117">
        <f>'Infra Build BOQ'!AD163</f>
        <v>360</v>
      </c>
      <c r="S21" s="599">
        <f>'Infra Build BOQ'!AE163</f>
        <v>0</v>
      </c>
      <c r="T21" s="91">
        <f>'Infra Build BOQ'!AF163</f>
        <v>0</v>
      </c>
      <c r="U21" s="101">
        <f>'Infra Build BOQ'!AG163</f>
        <v>80</v>
      </c>
      <c r="V21" s="117">
        <f>'Infra Build BOQ'!AH163</f>
        <v>360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12</v>
      </c>
      <c r="G31" s="106">
        <f>'Infra Build BOQ'!O176</f>
        <v>180</v>
      </c>
      <c r="H31" s="91">
        <f>'Infra Build BOQ'!T176</f>
        <v>0</v>
      </c>
      <c r="I31" s="101">
        <f>'Infra Build BOQ'!U176</f>
        <v>12</v>
      </c>
      <c r="J31" s="117">
        <f>'Infra Build BOQ'!V176</f>
        <v>180</v>
      </c>
      <c r="K31" s="599">
        <f>'Infra Build BOQ'!W176</f>
        <v>0</v>
      </c>
      <c r="L31" s="91">
        <f>'Infra Build BOQ'!X176</f>
        <v>0</v>
      </c>
      <c r="M31" s="101">
        <f>'Infra Build BOQ'!Y176</f>
        <v>12</v>
      </c>
      <c r="N31" s="117">
        <f>'Infra Build BOQ'!Z176</f>
        <v>180</v>
      </c>
      <c r="O31" s="599">
        <f>'Infra Build BOQ'!AA176</f>
        <v>0</v>
      </c>
      <c r="P31" s="91">
        <f>'Infra Build BOQ'!AB176</f>
        <v>0</v>
      </c>
      <c r="Q31" s="101">
        <f>'Infra Build BOQ'!AC176</f>
        <v>12</v>
      </c>
      <c r="R31" s="117">
        <f>'Infra Build BOQ'!AD176</f>
        <v>180</v>
      </c>
      <c r="S31" s="599">
        <f>'Infra Build BOQ'!AE176</f>
        <v>0</v>
      </c>
      <c r="T31" s="91">
        <f>'Infra Build BOQ'!AF176</f>
        <v>0</v>
      </c>
      <c r="U31" s="101">
        <f>'Infra Build BOQ'!AG176</f>
        <v>12</v>
      </c>
      <c r="V31" s="117">
        <f>'Infra Build BOQ'!AH176</f>
        <v>180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9" thickBot="1">
      <c r="B36" s="17"/>
      <c r="C36" s="18"/>
      <c r="D36" s="17"/>
      <c r="E36" s="19" t="s">
        <v>5</v>
      </c>
      <c r="F36" s="17"/>
      <c r="G36" s="73">
        <f>SUM(G13:G35)</f>
        <v>540</v>
      </c>
      <c r="H36" s="17"/>
      <c r="I36" s="50"/>
      <c r="J36" s="51">
        <f>SUM(J13:J35)</f>
        <v>540</v>
      </c>
      <c r="K36" s="17"/>
      <c r="L36" s="17"/>
      <c r="M36" s="50"/>
      <c r="N36" s="51">
        <f>SUM(N13:N35)</f>
        <v>540</v>
      </c>
      <c r="R36" s="74">
        <f>SUM(R13:R35)</f>
        <v>540</v>
      </c>
      <c r="V36" s="74">
        <f>SUM(V13:V35)</f>
        <v>540</v>
      </c>
      <c r="Y36" s="74">
        <f>SUM(Y13:Y35)</f>
        <v>0</v>
      </c>
    </row>
    <row r="37" spans="1:26" ht="14.5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-540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>
        <f>J38/G36</f>
        <v>0</v>
      </c>
      <c r="K39" s="154"/>
      <c r="L39" s="154" t="s">
        <v>223</v>
      </c>
      <c r="M39" s="154"/>
      <c r="N39" s="157">
        <f>N38/J36</f>
        <v>0</v>
      </c>
      <c r="O39" s="154"/>
      <c r="P39" s="154" t="s">
        <v>225</v>
      </c>
      <c r="Q39" s="154"/>
      <c r="R39" s="157">
        <f>R38/N36</f>
        <v>0</v>
      </c>
      <c r="S39" s="154"/>
      <c r="T39" s="154" t="s">
        <v>227</v>
      </c>
      <c r="U39" s="154"/>
      <c r="V39" s="157">
        <f>V38/R36</f>
        <v>0</v>
      </c>
      <c r="W39" s="154"/>
      <c r="X39" s="154" t="s">
        <v>229</v>
      </c>
      <c r="Y39" s="157">
        <f>Y38/G36</f>
        <v>-1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94"/>
      <c r="E42" s="1194"/>
      <c r="H42" s="10"/>
      <c r="I42" s="10"/>
    </row>
    <row r="43" spans="1:26" ht="18">
      <c r="A43" s="10"/>
      <c r="B43" s="10"/>
      <c r="C43" s="11"/>
      <c r="D43" s="1194"/>
      <c r="E43" s="1194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11:E11"/>
    <mergeCell ref="H11:Z11"/>
    <mergeCell ref="D42:E42"/>
    <mergeCell ref="D43:E43"/>
    <mergeCell ref="F3:G3"/>
    <mergeCell ref="F4:G4"/>
    <mergeCell ref="F5:G5"/>
    <mergeCell ref="F6:G6"/>
    <mergeCell ref="B2:E2"/>
    <mergeCell ref="D3:E3"/>
    <mergeCell ref="D4:E4"/>
    <mergeCell ref="H2:Z2"/>
    <mergeCell ref="H3:Z10"/>
    <mergeCell ref="D5:E5"/>
    <mergeCell ref="D6:E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1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0.5" thickBot="1">
      <c r="A2" s="27"/>
      <c r="B2" s="1134" t="str">
        <f>'Infra Build BOQ'!B2:I2</f>
        <v>56K0000005_R1  /  56K0000005_R1</v>
      </c>
      <c r="C2" s="1135"/>
      <c r="D2" s="1135"/>
      <c r="E2" s="1135"/>
      <c r="F2" s="1135"/>
      <c r="G2" s="1135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098" t="str">
        <f>'Infra Build BOQ'!F3</f>
        <v>K1SITA013</v>
      </c>
      <c r="G3" s="10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101" t="str">
        <f>'Infra Build BOQ'!F4</f>
        <v>Ethekwini</v>
      </c>
      <c r="G4" s="1102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'EXE Dashboard'!C22</f>
        <v>0</v>
      </c>
      <c r="D5" s="1145" t="s">
        <v>3</v>
      </c>
      <c r="E5" s="1189"/>
      <c r="F5" s="1104" t="str">
        <f>'Infra Build BOQ'!F5</f>
        <v>23/08/2023</v>
      </c>
      <c r="G5" s="1102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149" t="str">
        <f>'Infra Build BOQ'!F6</f>
        <v>Siltek House - Phoenix Welfare</v>
      </c>
      <c r="G6" s="1193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1128"/>
      <c r="G8" s="1128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1128"/>
      <c r="G9" s="1128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1196"/>
      <c r="G11" s="1196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9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5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94"/>
      <c r="E38" s="1194"/>
      <c r="F38" s="1194"/>
      <c r="G38" s="12"/>
      <c r="H38" s="10"/>
      <c r="I38" s="10"/>
    </row>
    <row r="39" spans="1:25" ht="18">
      <c r="A39" s="10"/>
      <c r="B39" s="10"/>
      <c r="C39" s="11"/>
      <c r="D39" s="1194"/>
      <c r="E39" s="1194"/>
      <c r="F39" s="1194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  <mergeCell ref="D39:F39"/>
    <mergeCell ref="F6:G6"/>
    <mergeCell ref="F8:G8"/>
    <mergeCell ref="F9:G9"/>
    <mergeCell ref="B11:G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206" t="str">
        <f>'Infra Build BOQ'!B2:I2</f>
        <v>56K0000005_R1  /  56K0000005_R1</v>
      </c>
      <c r="C2" s="1207"/>
      <c r="D2" s="1207"/>
      <c r="E2" s="1207"/>
      <c r="F2" s="110"/>
      <c r="G2" s="111"/>
      <c r="H2" s="1082"/>
      <c r="I2" s="1083"/>
      <c r="J2" s="1083"/>
      <c r="K2" s="1083"/>
      <c r="L2" s="1083"/>
      <c r="M2" s="1083"/>
      <c r="N2" s="1083"/>
      <c r="O2" s="1083"/>
      <c r="P2" s="1083"/>
      <c r="Q2" s="1083"/>
      <c r="R2" s="1083"/>
      <c r="S2" s="1083"/>
      <c r="T2" s="1083"/>
      <c r="U2" s="1083"/>
      <c r="V2" s="1083"/>
      <c r="W2" s="1083"/>
      <c r="X2" s="1083"/>
      <c r="Y2" s="1083"/>
      <c r="Z2" s="1084"/>
    </row>
    <row r="3" spans="1:26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43" t="s">
        <v>362</v>
      </c>
      <c r="E3" s="1188"/>
      <c r="F3" s="1198" t="str">
        <f>'Infra Build BOQ'!F3</f>
        <v>K1SITA013</v>
      </c>
      <c r="G3" s="1199"/>
      <c r="H3" s="1190" t="s">
        <v>279</v>
      </c>
      <c r="I3" s="1089"/>
      <c r="J3" s="1089"/>
      <c r="K3" s="1089"/>
      <c r="L3" s="1089"/>
      <c r="M3" s="1089"/>
      <c r="N3" s="1089"/>
      <c r="O3" s="1089"/>
      <c r="P3" s="1089"/>
      <c r="Q3" s="1089"/>
      <c r="R3" s="1089"/>
      <c r="S3" s="1089"/>
      <c r="T3" s="1089"/>
      <c r="U3" s="1089"/>
      <c r="V3" s="1089"/>
      <c r="W3" s="1089"/>
      <c r="X3" s="1089"/>
      <c r="Y3" s="1089"/>
      <c r="Z3" s="1090"/>
    </row>
    <row r="4" spans="1:26" ht="16.5" customHeight="1">
      <c r="A4" s="27"/>
      <c r="B4" s="89" t="s">
        <v>0</v>
      </c>
      <c r="C4" s="449" t="str">
        <f>'Infra Build BOQ'!C4</f>
        <v>Sita</v>
      </c>
      <c r="D4" s="1145" t="s">
        <v>2</v>
      </c>
      <c r="E4" s="1189"/>
      <c r="F4" s="1200" t="str">
        <f>'Infra Build BOQ'!F4</f>
        <v>Ethekwini</v>
      </c>
      <c r="G4" s="1201"/>
      <c r="H4" s="1191"/>
      <c r="I4" s="1091"/>
      <c r="J4" s="1091"/>
      <c r="K4" s="1091"/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1"/>
      <c r="X4" s="1091"/>
      <c r="Y4" s="1091"/>
      <c r="Z4" s="1092"/>
    </row>
    <row r="5" spans="1:26" ht="16.5" customHeight="1">
      <c r="A5" s="27"/>
      <c r="B5" s="90" t="s">
        <v>437</v>
      </c>
      <c r="C5" s="449">
        <f>'MATERIAL REQUEST'!C4</f>
        <v>0</v>
      </c>
      <c r="D5" s="1145" t="s">
        <v>3</v>
      </c>
      <c r="E5" s="1189"/>
      <c r="F5" s="1202" t="str">
        <f>'Infra Build BOQ'!F5</f>
        <v>23/08/2023</v>
      </c>
      <c r="G5" s="1203"/>
      <c r="H5" s="11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  <c r="W5" s="1091"/>
      <c r="X5" s="1091"/>
      <c r="Y5" s="1091"/>
      <c r="Z5" s="1092"/>
    </row>
    <row r="6" spans="1:26" ht="33" customHeight="1" thickBot="1">
      <c r="A6" s="27"/>
      <c r="B6" s="90" t="s">
        <v>230</v>
      </c>
      <c r="C6" s="450" t="s">
        <v>465</v>
      </c>
      <c r="D6" s="1145" t="s">
        <v>361</v>
      </c>
      <c r="E6" s="1189"/>
      <c r="F6" s="1204" t="str">
        <f>'Infra Build BOQ'!F6</f>
        <v>Siltek House - Phoenix Welfare</v>
      </c>
      <c r="G6" s="1205"/>
      <c r="H6" s="1191"/>
      <c r="I6" s="1091"/>
      <c r="J6" s="1091"/>
      <c r="K6" s="1091"/>
      <c r="L6" s="1091"/>
      <c r="M6" s="1091"/>
      <c r="N6" s="1091"/>
      <c r="O6" s="1091"/>
      <c r="P6" s="1091"/>
      <c r="Q6" s="1091"/>
      <c r="R6" s="1091"/>
      <c r="S6" s="1091"/>
      <c r="T6" s="1091"/>
      <c r="U6" s="1091"/>
      <c r="V6" s="1091"/>
      <c r="W6" s="1091"/>
      <c r="X6" s="1091"/>
      <c r="Y6" s="1091"/>
      <c r="Z6" s="1092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1"/>
      <c r="I7" s="1091"/>
      <c r="J7" s="1091"/>
      <c r="K7" s="1091"/>
      <c r="L7" s="1091"/>
      <c r="M7" s="1091"/>
      <c r="N7" s="1091"/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2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1"/>
      <c r="I8" s="1091"/>
      <c r="J8" s="1091"/>
      <c r="K8" s="1091"/>
      <c r="L8" s="1091"/>
      <c r="M8" s="1091"/>
      <c r="N8" s="1091"/>
      <c r="O8" s="1091"/>
      <c r="P8" s="1091"/>
      <c r="Q8" s="1091"/>
      <c r="R8" s="1091"/>
      <c r="S8" s="1091"/>
      <c r="T8" s="1091"/>
      <c r="U8" s="1091"/>
      <c r="V8" s="1091"/>
      <c r="W8" s="1091"/>
      <c r="X8" s="1091"/>
      <c r="Y8" s="1091"/>
      <c r="Z8" s="1092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1"/>
      <c r="I9" s="1091"/>
      <c r="J9" s="1091"/>
      <c r="K9" s="1091"/>
      <c r="L9" s="1091"/>
      <c r="M9" s="1091"/>
      <c r="N9" s="1091"/>
      <c r="O9" s="1091"/>
      <c r="P9" s="1091"/>
      <c r="Q9" s="1091"/>
      <c r="R9" s="1091"/>
      <c r="S9" s="1091"/>
      <c r="T9" s="1091"/>
      <c r="U9" s="1091"/>
      <c r="V9" s="1091"/>
      <c r="W9" s="1091"/>
      <c r="X9" s="1091"/>
      <c r="Y9" s="1091"/>
      <c r="Z9" s="1092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2"/>
      <c r="I10" s="1094"/>
      <c r="J10" s="1094"/>
      <c r="K10" s="1094"/>
      <c r="L10" s="1094"/>
      <c r="M10" s="1094"/>
      <c r="N10" s="1094"/>
      <c r="O10" s="1094"/>
      <c r="P10" s="1094"/>
      <c r="Q10" s="1094"/>
      <c r="R10" s="1094"/>
      <c r="S10" s="1094"/>
      <c r="T10" s="1094"/>
      <c r="U10" s="1094"/>
      <c r="V10" s="1094"/>
      <c r="W10" s="1094"/>
      <c r="X10" s="1094"/>
      <c r="Y10" s="1094"/>
      <c r="Z10" s="1095"/>
    </row>
    <row r="11" spans="1:26" ht="18.5" thickBot="1">
      <c r="A11" s="27"/>
      <c r="B11" s="1195" t="s">
        <v>280</v>
      </c>
      <c r="C11" s="1196"/>
      <c r="D11" s="1196"/>
      <c r="E11" s="1196"/>
      <c r="F11" s="93"/>
      <c r="G11" s="93"/>
      <c r="H11" s="1085"/>
      <c r="I11" s="1086"/>
      <c r="J11" s="1086"/>
      <c r="K11" s="1086"/>
      <c r="L11" s="1086"/>
      <c r="M11" s="1086"/>
      <c r="N11" s="1086"/>
      <c r="O11" s="1086"/>
      <c r="P11" s="1086"/>
      <c r="Q11" s="1086"/>
      <c r="R11" s="1086"/>
      <c r="S11" s="1086"/>
      <c r="T11" s="1086"/>
      <c r="U11" s="1086"/>
      <c r="V11" s="1086"/>
      <c r="W11" s="1086"/>
      <c r="X11" s="1086"/>
      <c r="Y11" s="1086"/>
      <c r="Z11" s="1087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5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5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9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5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94"/>
      <c r="E30" s="1194"/>
      <c r="H30" s="10"/>
      <c r="I30" s="10"/>
    </row>
    <row r="31" spans="1:28" ht="18">
      <c r="A31" s="10"/>
      <c r="B31" s="10"/>
      <c r="C31" s="11"/>
      <c r="D31" s="1194"/>
      <c r="E31" s="1194"/>
      <c r="H31" s="10"/>
      <c r="I31" s="10"/>
    </row>
    <row r="34" spans="3:3" ht="14.5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14" activePane="bottomLeft" state="frozen"/>
      <selection pane="bottomLeft" activeCell="F237" sqref="F237"/>
    </sheetView>
  </sheetViews>
  <sheetFormatPr defaultColWidth="4.453125" defaultRowHeight="14" outlineLevelRow="1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7.6328125" style="21" bestFit="1" customWidth="1"/>
    <col min="7" max="7" width="24" style="20" customWidth="1"/>
    <col min="8" max="8" width="19.453125" style="20" bestFit="1" customWidth="1"/>
    <col min="9" max="9" width="24" style="20" customWidth="1"/>
    <col min="10" max="10" width="14.90625" style="20" customWidth="1"/>
    <col min="11" max="11" width="24.08984375" style="20" customWidth="1"/>
    <col min="12" max="12" width="16.08984375" style="20" customWidth="1"/>
    <col min="13" max="13" width="24.36328125" style="20" customWidth="1"/>
    <col min="14" max="14" width="16.08984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08984375" style="20" customWidth="1"/>
    <col min="20" max="20" width="15.90625" style="20" customWidth="1"/>
    <col min="21" max="21" width="18.81640625" style="20" customWidth="1"/>
    <col min="22" max="22" width="20.81640625" style="20" customWidth="1"/>
    <col min="23" max="23" width="18.81640625" style="20" customWidth="1"/>
    <col min="24" max="24" width="16.6328125" style="20" customWidth="1"/>
    <col min="25" max="25" width="18.81640625" style="20" customWidth="1"/>
    <col min="26" max="26" width="20.81640625" style="20" customWidth="1"/>
    <col min="27" max="27" width="18.81640625" style="20" customWidth="1"/>
    <col min="28" max="28" width="14.6328125" style="20" customWidth="1"/>
    <col min="29" max="29" width="18.81640625" style="20" customWidth="1"/>
    <col min="30" max="30" width="20.81640625" style="20" customWidth="1"/>
    <col min="31" max="31" width="18.81640625" style="20" customWidth="1"/>
    <col min="32" max="32" width="16" style="20" customWidth="1"/>
    <col min="33" max="33" width="18.81640625" style="20" customWidth="1"/>
    <col min="34" max="34" width="20.81640625" style="20" customWidth="1"/>
    <col min="35" max="36" width="18.81640625" style="20" customWidth="1"/>
    <col min="37" max="37" width="20.81640625" style="20" customWidth="1"/>
    <col min="38" max="38" width="18.81640625" style="20" customWidth="1"/>
    <col min="39" max="16384" width="4.453125" style="20"/>
  </cols>
  <sheetData>
    <row r="1" spans="1:38" ht="20.5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0.5" thickBot="1">
      <c r="A2" s="27"/>
      <c r="B2" s="1096" t="str">
        <f>C3</f>
        <v>56K0000005_R1  /  56K0000005_R1</v>
      </c>
      <c r="C2" s="1097"/>
      <c r="D2" s="1097"/>
      <c r="E2" s="1097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82"/>
      <c r="U2" s="1083"/>
      <c r="V2" s="1083"/>
      <c r="W2" s="1083"/>
      <c r="X2" s="1083"/>
      <c r="Y2" s="1083"/>
      <c r="Z2" s="1083"/>
      <c r="AA2" s="1083"/>
      <c r="AB2" s="1083"/>
      <c r="AC2" s="1083"/>
      <c r="AD2" s="1083"/>
      <c r="AE2" s="1083"/>
      <c r="AF2" s="1083"/>
      <c r="AG2" s="1083"/>
      <c r="AH2" s="1083"/>
      <c r="AI2" s="1083"/>
      <c r="AJ2" s="1083"/>
      <c r="AK2" s="1083"/>
      <c r="AL2" s="1084"/>
    </row>
    <row r="3" spans="1:38" ht="15.5">
      <c r="A3" s="27"/>
      <c r="B3" s="88" t="s">
        <v>1</v>
      </c>
      <c r="C3" s="178" t="str">
        <f>CONCATENATE('EXE Dashboard'!C4,"  /  ",'EXE Dashboard'!C5)</f>
        <v>56K0000005_R1  /  56K0000005_R1</v>
      </c>
      <c r="D3" s="1117" t="s">
        <v>362</v>
      </c>
      <c r="E3" s="1118"/>
      <c r="F3" s="1098" t="str">
        <f>'EXE Dashboard'!C17</f>
        <v>K1SITA013</v>
      </c>
      <c r="G3" s="1099"/>
      <c r="H3" s="1099"/>
      <c r="I3" s="1099"/>
      <c r="J3" s="1099"/>
      <c r="K3" s="1100"/>
      <c r="L3" s="1073"/>
      <c r="M3" s="1074"/>
      <c r="N3" s="1074"/>
      <c r="O3" s="1074"/>
      <c r="P3" s="1074"/>
      <c r="Q3" s="1074"/>
      <c r="R3" s="1074"/>
      <c r="S3" s="1075"/>
      <c r="T3" s="1089" t="s">
        <v>279</v>
      </c>
      <c r="U3" s="1089"/>
      <c r="V3" s="1089"/>
      <c r="W3" s="1089"/>
      <c r="X3" s="1089"/>
      <c r="Y3" s="1089"/>
      <c r="Z3" s="1089"/>
      <c r="AA3" s="1089"/>
      <c r="AB3" s="1089"/>
      <c r="AC3" s="1089"/>
      <c r="AD3" s="1089"/>
      <c r="AE3" s="1089"/>
      <c r="AF3" s="1089"/>
      <c r="AG3" s="1089"/>
      <c r="AH3" s="1089"/>
      <c r="AI3" s="1089"/>
      <c r="AJ3" s="1089"/>
      <c r="AK3" s="1089"/>
      <c r="AL3" s="1090"/>
    </row>
    <row r="4" spans="1:38" ht="16.5" customHeight="1">
      <c r="A4" s="27"/>
      <c r="B4" s="89" t="s">
        <v>0</v>
      </c>
      <c r="C4" s="449" t="str">
        <f>'EXE Dashboard'!C6</f>
        <v>Sita</v>
      </c>
      <c r="D4" s="1119" t="s">
        <v>2</v>
      </c>
      <c r="E4" s="1120"/>
      <c r="F4" s="1101" t="str">
        <f>'EXE Dashboard'!C18</f>
        <v>Ethekwini</v>
      </c>
      <c r="G4" s="1102"/>
      <c r="H4" s="1102"/>
      <c r="I4" s="1102"/>
      <c r="J4" s="1102"/>
      <c r="K4" s="1103"/>
      <c r="L4" s="1076"/>
      <c r="M4" s="1077"/>
      <c r="N4" s="1077"/>
      <c r="O4" s="1077"/>
      <c r="P4" s="1077"/>
      <c r="Q4" s="1077"/>
      <c r="R4" s="1077"/>
      <c r="S4" s="1078"/>
      <c r="T4" s="1091"/>
      <c r="U4" s="1091"/>
      <c r="V4" s="1091"/>
      <c r="W4" s="1091"/>
      <c r="X4" s="1091"/>
      <c r="Y4" s="1091"/>
      <c r="Z4" s="1091"/>
      <c r="AA4" s="1091"/>
      <c r="AB4" s="1091"/>
      <c r="AC4" s="1091"/>
      <c r="AD4" s="1091"/>
      <c r="AE4" s="1091"/>
      <c r="AF4" s="1091"/>
      <c r="AG4" s="1091"/>
      <c r="AH4" s="1091"/>
      <c r="AI4" s="1091"/>
      <c r="AJ4" s="1091"/>
      <c r="AK4" s="1091"/>
      <c r="AL4" s="1092"/>
    </row>
    <row r="5" spans="1:38" ht="16.5" customHeight="1">
      <c r="A5" s="27"/>
      <c r="B5" s="90" t="s">
        <v>306</v>
      </c>
      <c r="C5" s="449">
        <f>'EXE Dashboard'!C11</f>
        <v>0</v>
      </c>
      <c r="D5" s="1119" t="s">
        <v>3</v>
      </c>
      <c r="E5" s="1120"/>
      <c r="F5" s="1104" t="str">
        <f>'EXE Dashboard'!C19</f>
        <v>23/08/2023</v>
      </c>
      <c r="G5" s="1105"/>
      <c r="H5" s="1105"/>
      <c r="I5" s="1105"/>
      <c r="J5" s="1105"/>
      <c r="K5" s="1106"/>
      <c r="L5" s="1076"/>
      <c r="M5" s="1077"/>
      <c r="N5" s="1077"/>
      <c r="O5" s="1077"/>
      <c r="P5" s="1077"/>
      <c r="Q5" s="1077"/>
      <c r="R5" s="1077"/>
      <c r="S5" s="1078"/>
      <c r="T5" s="1091"/>
      <c r="U5" s="1091"/>
      <c r="V5" s="1091"/>
      <c r="W5" s="1091"/>
      <c r="X5" s="1091"/>
      <c r="Y5" s="1091"/>
      <c r="Z5" s="1091"/>
      <c r="AA5" s="1091"/>
      <c r="AB5" s="1091"/>
      <c r="AC5" s="1091"/>
      <c r="AD5" s="1091"/>
      <c r="AE5" s="1091"/>
      <c r="AF5" s="1091"/>
      <c r="AG5" s="1091"/>
      <c r="AH5" s="1091"/>
      <c r="AI5" s="1091"/>
      <c r="AJ5" s="1091"/>
      <c r="AK5" s="1091"/>
      <c r="AL5" s="1092"/>
    </row>
    <row r="6" spans="1:38" ht="16.5" customHeight="1">
      <c r="A6" s="27"/>
      <c r="B6" s="90" t="s">
        <v>307</v>
      </c>
      <c r="C6" s="449" t="str">
        <f>'EXE Dashboard'!C12</f>
        <v>Lee Naicker</v>
      </c>
      <c r="D6" s="1113" t="s">
        <v>361</v>
      </c>
      <c r="E6" s="1114"/>
      <c r="F6" s="1107" t="str">
        <f>'EXE Dashboard'!C16</f>
        <v>Siltek House - Phoenix Welfare</v>
      </c>
      <c r="G6" s="1108"/>
      <c r="H6" s="1108"/>
      <c r="I6" s="1108"/>
      <c r="J6" s="1108"/>
      <c r="K6" s="1109"/>
      <c r="L6" s="1076"/>
      <c r="M6" s="1077"/>
      <c r="N6" s="1077"/>
      <c r="O6" s="1077"/>
      <c r="P6" s="1077"/>
      <c r="Q6" s="1077"/>
      <c r="R6" s="1077"/>
      <c r="S6" s="1078"/>
      <c r="T6" s="1091"/>
      <c r="U6" s="1091"/>
      <c r="V6" s="1091"/>
      <c r="W6" s="1091"/>
      <c r="X6" s="1091"/>
      <c r="Y6" s="1091"/>
      <c r="Z6" s="1091"/>
      <c r="AA6" s="1091"/>
      <c r="AB6" s="1091"/>
      <c r="AC6" s="1091"/>
      <c r="AD6" s="1091"/>
      <c r="AE6" s="1091"/>
      <c r="AF6" s="1091"/>
      <c r="AG6" s="1091"/>
      <c r="AH6" s="1091"/>
      <c r="AI6" s="1091"/>
      <c r="AJ6" s="1091"/>
      <c r="AK6" s="1091"/>
      <c r="AL6" s="1092"/>
    </row>
    <row r="7" spans="1:38" ht="16.5" customHeight="1" thickBot="1">
      <c r="A7" s="27"/>
      <c r="B7" s="29" t="s">
        <v>462</v>
      </c>
      <c r="C7" s="609" t="str">
        <f>'EXE Dashboard'!C13</f>
        <v>Lee Naicker</v>
      </c>
      <c r="D7" s="1115"/>
      <c r="E7" s="1116"/>
      <c r="F7" s="1110"/>
      <c r="G7" s="1111"/>
      <c r="H7" s="1111"/>
      <c r="I7" s="1111"/>
      <c r="J7" s="1111"/>
      <c r="K7" s="1112"/>
      <c r="L7" s="1076"/>
      <c r="M7" s="1077"/>
      <c r="N7" s="1077"/>
      <c r="O7" s="1077"/>
      <c r="P7" s="1077"/>
      <c r="Q7" s="1077"/>
      <c r="R7" s="1077"/>
      <c r="S7" s="1078"/>
      <c r="T7" s="1091"/>
      <c r="U7" s="1091"/>
      <c r="V7" s="1091"/>
      <c r="W7" s="1091"/>
      <c r="X7" s="1091"/>
      <c r="Y7" s="1091"/>
      <c r="Z7" s="1091"/>
      <c r="AA7" s="1091"/>
      <c r="AB7" s="1091"/>
      <c r="AC7" s="1091"/>
      <c r="AD7" s="1091"/>
      <c r="AE7" s="1091"/>
      <c r="AF7" s="1091"/>
      <c r="AG7" s="1091"/>
      <c r="AH7" s="1091"/>
      <c r="AI7" s="1091"/>
      <c r="AJ7" s="1091"/>
      <c r="AK7" s="1091"/>
      <c r="AL7" s="1092"/>
    </row>
    <row r="8" spans="1:38" ht="17.25" customHeight="1" thickBot="1">
      <c r="A8" s="27"/>
      <c r="B8" s="29" t="s">
        <v>118</v>
      </c>
      <c r="C8" s="1121"/>
      <c r="D8" s="1122"/>
      <c r="E8" s="1123"/>
      <c r="F8" s="1127"/>
      <c r="G8" s="1128"/>
      <c r="H8" s="1128"/>
      <c r="I8" s="1128"/>
      <c r="J8" s="1128"/>
      <c r="K8" s="1129"/>
      <c r="L8" s="1076"/>
      <c r="M8" s="1077"/>
      <c r="N8" s="1077"/>
      <c r="O8" s="1077"/>
      <c r="P8" s="1077"/>
      <c r="Q8" s="1077"/>
      <c r="R8" s="1077"/>
      <c r="S8" s="1078"/>
      <c r="T8" s="1091"/>
      <c r="U8" s="1091"/>
      <c r="V8" s="1091"/>
      <c r="W8" s="1091"/>
      <c r="X8" s="1091"/>
      <c r="Y8" s="1091"/>
      <c r="Z8" s="1091"/>
      <c r="AA8" s="1091"/>
      <c r="AB8" s="1091"/>
      <c r="AC8" s="1091"/>
      <c r="AD8" s="1091"/>
      <c r="AE8" s="1091"/>
      <c r="AF8" s="1091"/>
      <c r="AG8" s="1091"/>
      <c r="AH8" s="1091"/>
      <c r="AI8" s="1091"/>
      <c r="AJ8" s="1091"/>
      <c r="AK8" s="1091"/>
      <c r="AL8" s="1092"/>
    </row>
    <row r="9" spans="1:38" ht="17.25" customHeight="1" thickBot="1">
      <c r="A9" s="27"/>
      <c r="B9" s="1124"/>
      <c r="C9" s="1125"/>
      <c r="D9" s="1125"/>
      <c r="E9" s="1126"/>
      <c r="F9" s="1127"/>
      <c r="G9" s="1128"/>
      <c r="H9" s="1128"/>
      <c r="I9" s="1128"/>
      <c r="J9" s="1128"/>
      <c r="K9" s="1129"/>
      <c r="L9" s="1076"/>
      <c r="M9" s="1077"/>
      <c r="N9" s="1077"/>
      <c r="O9" s="1077"/>
      <c r="P9" s="1077"/>
      <c r="Q9" s="1077"/>
      <c r="R9" s="1077"/>
      <c r="S9" s="1078"/>
      <c r="T9" s="1091"/>
      <c r="U9" s="1091"/>
      <c r="V9" s="1091"/>
      <c r="W9" s="1091"/>
      <c r="X9" s="1091"/>
      <c r="Y9" s="1091"/>
      <c r="Z9" s="1091"/>
      <c r="AA9" s="1091"/>
      <c r="AB9" s="1091"/>
      <c r="AC9" s="1091"/>
      <c r="AD9" s="1091"/>
      <c r="AE9" s="1091"/>
      <c r="AF9" s="1091"/>
      <c r="AG9" s="1091"/>
      <c r="AH9" s="1091"/>
      <c r="AI9" s="1091"/>
      <c r="AJ9" s="1091"/>
      <c r="AK9" s="1091"/>
      <c r="AL9" s="1092"/>
    </row>
    <row r="10" spans="1:38" ht="17.25" customHeight="1" thickBot="1">
      <c r="A10" s="27"/>
      <c r="B10" s="1124"/>
      <c r="C10" s="1125"/>
      <c r="D10" s="1125"/>
      <c r="E10" s="1126"/>
      <c r="F10" s="1127"/>
      <c r="G10" s="1128"/>
      <c r="H10" s="1128"/>
      <c r="I10" s="1128"/>
      <c r="J10" s="1128"/>
      <c r="K10" s="1129"/>
      <c r="L10" s="1076"/>
      <c r="M10" s="1077"/>
      <c r="N10" s="1077"/>
      <c r="O10" s="1077"/>
      <c r="P10" s="1077"/>
      <c r="Q10" s="1077"/>
      <c r="R10" s="1077"/>
      <c r="S10" s="1078"/>
      <c r="T10" s="1091"/>
      <c r="U10" s="1091"/>
      <c r="V10" s="1091"/>
      <c r="W10" s="1091"/>
      <c r="X10" s="1091"/>
      <c r="Y10" s="1091"/>
      <c r="Z10" s="1091"/>
      <c r="AA10" s="1091"/>
      <c r="AB10" s="1091"/>
      <c r="AC10" s="1091"/>
      <c r="AD10" s="1091"/>
      <c r="AE10" s="1091"/>
      <c r="AF10" s="1091"/>
      <c r="AG10" s="1091"/>
      <c r="AH10" s="1091"/>
      <c r="AI10" s="1091"/>
      <c r="AJ10" s="1091"/>
      <c r="AK10" s="1091"/>
      <c r="AL10" s="1092"/>
    </row>
    <row r="11" spans="1:38" ht="17.25" customHeight="1" thickBot="1">
      <c r="A11" s="27"/>
      <c r="B11" s="1124"/>
      <c r="C11" s="1125"/>
      <c r="D11" s="1125"/>
      <c r="E11" s="1126"/>
      <c r="F11" s="1127"/>
      <c r="G11" s="1128"/>
      <c r="H11" s="1128"/>
      <c r="I11" s="1128"/>
      <c r="J11" s="1128"/>
      <c r="K11" s="1129"/>
      <c r="L11" s="1079"/>
      <c r="M11" s="1080"/>
      <c r="N11" s="1080"/>
      <c r="O11" s="1080"/>
      <c r="P11" s="1080"/>
      <c r="Q11" s="1080"/>
      <c r="R11" s="1080"/>
      <c r="S11" s="1081"/>
      <c r="T11" s="1093"/>
      <c r="U11" s="1094"/>
      <c r="V11" s="1094"/>
      <c r="W11" s="1094"/>
      <c r="X11" s="1094"/>
      <c r="Y11" s="1094"/>
      <c r="Z11" s="1094"/>
      <c r="AA11" s="1094"/>
      <c r="AB11" s="1094"/>
      <c r="AC11" s="1094"/>
      <c r="AD11" s="1094"/>
      <c r="AE11" s="1094"/>
      <c r="AF11" s="1094"/>
      <c r="AG11" s="1094"/>
      <c r="AH11" s="1094"/>
      <c r="AI11" s="1094"/>
      <c r="AJ11" s="1094"/>
      <c r="AK11" s="1094"/>
      <c r="AL11" s="1095"/>
    </row>
    <row r="12" spans="1:38" ht="18.5" thickBot="1">
      <c r="A12" s="27"/>
      <c r="B12" s="1085" t="s">
        <v>280</v>
      </c>
      <c r="C12" s="1086"/>
      <c r="D12" s="1086"/>
      <c r="E12" s="1086"/>
      <c r="F12" s="1086"/>
      <c r="G12" s="1086"/>
      <c r="H12" s="1086"/>
      <c r="I12" s="1086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85"/>
      <c r="U12" s="1086"/>
      <c r="V12" s="1086"/>
      <c r="W12" s="1086"/>
      <c r="X12" s="1086"/>
      <c r="Y12" s="1086"/>
      <c r="Z12" s="1086"/>
      <c r="AA12" s="1086"/>
      <c r="AB12" s="1086"/>
      <c r="AC12" s="1086"/>
      <c r="AD12" s="1086"/>
      <c r="AE12" s="1086"/>
      <c r="AF12" s="1086"/>
      <c r="AG12" s="1086"/>
      <c r="AH12" s="1086"/>
      <c r="AI12" s="1086"/>
      <c r="AJ12" s="1086"/>
      <c r="AK12" s="1086"/>
      <c r="AL12" s="1087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 ht="13">
      <c r="B14" s="686">
        <v>1</v>
      </c>
      <c r="C14" s="687" t="s">
        <v>6</v>
      </c>
      <c r="D14" s="688"/>
      <c r="E14" s="689"/>
      <c r="F14" s="690"/>
      <c r="G14" s="691">
        <f>SUBTOTAL(9,G15)</f>
        <v>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 ht="13">
      <c r="B15" s="699">
        <v>1.1000000000000001</v>
      </c>
      <c r="C15" s="700" t="s">
        <v>66</v>
      </c>
      <c r="D15" s="701" t="s">
        <v>22</v>
      </c>
      <c r="E15" s="702">
        <v>850</v>
      </c>
      <c r="F15" s="703"/>
      <c r="G15" s="704">
        <f t="shared" ref="G15" si="0">+F15*E15</f>
        <v>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0</v>
      </c>
      <c r="V15" s="709">
        <f>U15*E15</f>
        <v>0</v>
      </c>
      <c r="W15" s="710"/>
      <c r="X15" s="711"/>
      <c r="Y15" s="708">
        <f>X15+U15</f>
        <v>0</v>
      </c>
      <c r="Z15" s="709">
        <f>Y15*E15</f>
        <v>0</v>
      </c>
      <c r="AA15" s="710"/>
      <c r="AB15" s="711"/>
      <c r="AC15" s="708">
        <f>AB15+Y15</f>
        <v>0</v>
      </c>
      <c r="AD15" s="709">
        <f>AC15*E15</f>
        <v>0</v>
      </c>
      <c r="AE15" s="712"/>
      <c r="AF15" s="711"/>
      <c r="AG15" s="708">
        <f>AF15+AC15</f>
        <v>0</v>
      </c>
      <c r="AH15" s="709">
        <f>AG15*E15</f>
        <v>0</v>
      </c>
      <c r="AI15" s="712"/>
      <c r="AJ15" s="708"/>
      <c r="AK15" s="709">
        <f>AJ15*E15</f>
        <v>0</v>
      </c>
      <c r="AL15" s="713"/>
    </row>
    <row r="16" spans="1:38" s="527" customFormat="1" ht="13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2267.13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ht="13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ht="13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ht="13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>
        <v>6</v>
      </c>
      <c r="G19" s="704">
        <f t="shared" si="1"/>
        <v>361.38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6</v>
      </c>
      <c r="V19" s="733">
        <f t="shared" ref="V19:V64" si="10">U19*E19</f>
        <v>361.38</v>
      </c>
      <c r="W19" s="710"/>
      <c r="X19" s="711"/>
      <c r="Y19" s="732">
        <f t="shared" si="2"/>
        <v>6</v>
      </c>
      <c r="Z19" s="733">
        <f t="shared" si="3"/>
        <v>361.38</v>
      </c>
      <c r="AA19" s="710"/>
      <c r="AB19" s="711"/>
      <c r="AC19" s="732">
        <f t="shared" si="4"/>
        <v>6</v>
      </c>
      <c r="AD19" s="733">
        <f t="shared" si="5"/>
        <v>361.38</v>
      </c>
      <c r="AE19" s="712"/>
      <c r="AF19" s="711"/>
      <c r="AG19" s="732">
        <f t="shared" si="6"/>
        <v>6</v>
      </c>
      <c r="AH19" s="733">
        <f t="shared" si="7"/>
        <v>361.38</v>
      </c>
      <c r="AI19" s="712"/>
      <c r="AJ19" s="708"/>
      <c r="AK19" s="733">
        <f t="shared" si="8"/>
        <v>0</v>
      </c>
      <c r="AL19" s="713"/>
    </row>
    <row r="20" spans="2:38" s="527" customFormat="1" ht="13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ht="13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>
        <v>55</v>
      </c>
      <c r="G22" s="704">
        <f t="shared" si="1"/>
        <v>1905.75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55</v>
      </c>
      <c r="V22" s="733">
        <f t="shared" ref="V22:V56" si="20">U22*E22</f>
        <v>1905.75</v>
      </c>
      <c r="W22" s="710"/>
      <c r="X22" s="711"/>
      <c r="Y22" s="732">
        <f t="shared" si="12"/>
        <v>55</v>
      </c>
      <c r="Z22" s="733">
        <f t="shared" si="13"/>
        <v>1905.75</v>
      </c>
      <c r="AA22" s="710"/>
      <c r="AB22" s="711"/>
      <c r="AC22" s="732">
        <f t="shared" si="14"/>
        <v>55</v>
      </c>
      <c r="AD22" s="733">
        <f t="shared" si="15"/>
        <v>1905.75</v>
      </c>
      <c r="AE22" s="712"/>
      <c r="AF22" s="711"/>
      <c r="AG22" s="732">
        <f t="shared" si="16"/>
        <v>55</v>
      </c>
      <c r="AH22" s="733">
        <f t="shared" si="17"/>
        <v>1905.75</v>
      </c>
      <c r="AI22" s="712"/>
      <c r="AJ22" s="708"/>
      <c r="AK22" s="733">
        <f t="shared" si="18"/>
        <v>0</v>
      </c>
      <c r="AL22" s="713"/>
    </row>
    <row r="23" spans="2:38" s="528" customFormat="1" ht="27.65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5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5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5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ht="13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ht="13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ht="13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ht="13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 ht="13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513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ht="13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ht="13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ht="13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ht="13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>
        <v>18</v>
      </c>
      <c r="G61" s="704">
        <f t="shared" si="1"/>
        <v>513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18</v>
      </c>
      <c r="V61" s="733">
        <f t="shared" si="10"/>
        <v>513</v>
      </c>
      <c r="W61" s="740"/>
      <c r="X61" s="739"/>
      <c r="Y61" s="732">
        <f t="shared" si="2"/>
        <v>18</v>
      </c>
      <c r="Z61" s="733">
        <f t="shared" si="3"/>
        <v>513</v>
      </c>
      <c r="AA61" s="710"/>
      <c r="AB61" s="711"/>
      <c r="AC61" s="732">
        <f t="shared" si="4"/>
        <v>18</v>
      </c>
      <c r="AD61" s="733">
        <f t="shared" si="5"/>
        <v>513</v>
      </c>
      <c r="AE61" s="712"/>
      <c r="AF61" s="711"/>
      <c r="AG61" s="732">
        <f t="shared" si="6"/>
        <v>18</v>
      </c>
      <c r="AH61" s="733">
        <f t="shared" si="7"/>
        <v>513</v>
      </c>
      <c r="AI61" s="712"/>
      <c r="AJ61" s="708"/>
      <c r="AK61" s="733">
        <f t="shared" si="8"/>
        <v>0</v>
      </c>
      <c r="AL61" s="713"/>
    </row>
    <row r="62" spans="2:38" s="527" customFormat="1" ht="13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ht="13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ht="13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/>
      <c r="G64" s="704">
        <f t="shared" si="1"/>
        <v>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0</v>
      </c>
      <c r="V64" s="733">
        <f t="shared" si="10"/>
        <v>0</v>
      </c>
      <c r="W64" s="710"/>
      <c r="X64" s="711"/>
      <c r="Y64" s="732">
        <f t="shared" si="2"/>
        <v>0</v>
      </c>
      <c r="Z64" s="733">
        <f t="shared" si="3"/>
        <v>0</v>
      </c>
      <c r="AA64" s="710"/>
      <c r="AB64" s="711"/>
      <c r="AC64" s="732">
        <f t="shared" si="4"/>
        <v>0</v>
      </c>
      <c r="AD64" s="733">
        <f t="shared" si="5"/>
        <v>0</v>
      </c>
      <c r="AE64" s="712"/>
      <c r="AF64" s="711"/>
      <c r="AG64" s="732">
        <f t="shared" si="6"/>
        <v>0</v>
      </c>
      <c r="AH64" s="733">
        <f t="shared" si="7"/>
        <v>0</v>
      </c>
      <c r="AI64" s="712"/>
      <c r="AJ64" s="708"/>
      <c r="AK64" s="733">
        <f t="shared" si="8"/>
        <v>0</v>
      </c>
      <c r="AL64" s="713"/>
    </row>
    <row r="65" spans="2:38" s="527" customFormat="1" ht="13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615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ht="13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>
        <v>55</v>
      </c>
      <c r="G66" s="704">
        <f>+F66*E66</f>
        <v>165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55</v>
      </c>
      <c r="V66" s="733">
        <f>U66*E66</f>
        <v>165</v>
      </c>
      <c r="W66" s="710"/>
      <c r="X66" s="711"/>
      <c r="Y66" s="732">
        <f t="shared" si="2"/>
        <v>55</v>
      </c>
      <c r="Z66" s="733">
        <f t="shared" si="3"/>
        <v>165</v>
      </c>
      <c r="AA66" s="710"/>
      <c r="AB66" s="711"/>
      <c r="AC66" s="732">
        <f t="shared" si="4"/>
        <v>55</v>
      </c>
      <c r="AD66" s="733">
        <f t="shared" si="5"/>
        <v>165</v>
      </c>
      <c r="AE66" s="712"/>
      <c r="AF66" s="711"/>
      <c r="AG66" s="732">
        <f t="shared" si="6"/>
        <v>55</v>
      </c>
      <c r="AH66" s="733">
        <f t="shared" si="7"/>
        <v>165</v>
      </c>
      <c r="AI66" s="712"/>
      <c r="AJ66" s="708"/>
      <c r="AK66" s="733">
        <f t="shared" si="8"/>
        <v>0</v>
      </c>
      <c r="AL66" s="713"/>
    </row>
    <row r="67" spans="2:38" s="527" customFormat="1" ht="13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ht="13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ht="13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ht="13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>
        <v>60</v>
      </c>
      <c r="G70" s="704">
        <f t="shared" si="46"/>
        <v>450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60</v>
      </c>
      <c r="V70" s="733">
        <f t="shared" si="48"/>
        <v>450</v>
      </c>
      <c r="W70" s="710"/>
      <c r="X70" s="711"/>
      <c r="Y70" s="732">
        <f t="shared" si="2"/>
        <v>60</v>
      </c>
      <c r="Z70" s="733">
        <f t="shared" si="3"/>
        <v>450</v>
      </c>
      <c r="AA70" s="710"/>
      <c r="AB70" s="711"/>
      <c r="AC70" s="732">
        <f t="shared" si="4"/>
        <v>60</v>
      </c>
      <c r="AD70" s="733">
        <f t="shared" si="5"/>
        <v>450</v>
      </c>
      <c r="AE70" s="712"/>
      <c r="AF70" s="711"/>
      <c r="AG70" s="732">
        <f t="shared" si="6"/>
        <v>60</v>
      </c>
      <c r="AH70" s="733">
        <f t="shared" si="7"/>
        <v>450</v>
      </c>
      <c r="AI70" s="712"/>
      <c r="AJ70" s="708"/>
      <c r="AK70" s="733">
        <f t="shared" si="8"/>
        <v>0</v>
      </c>
      <c r="AL70" s="713"/>
    </row>
    <row r="71" spans="2:38" s="527" customFormat="1" ht="13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ht="13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ht="13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 ht="13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ht="13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ht="13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ht="13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ht="13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ht="13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ht="13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 ht="13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0</v>
      </c>
      <c r="H81" s="747"/>
      <c r="I81" s="748"/>
      <c r="J81" s="747"/>
      <c r="K81" s="748"/>
      <c r="L81" s="747"/>
      <c r="M81" s="746">
        <f>SUBTOTAL(9,M82,M84:M89)</f>
        <v>1710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ht="13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ht="13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/>
      <c r="G83" s="704">
        <f>+F83*$E83</f>
        <v>0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0</v>
      </c>
      <c r="V83" s="733">
        <f>U83*E83</f>
        <v>0</v>
      </c>
      <c r="W83" s="710"/>
      <c r="X83" s="711"/>
      <c r="Y83" s="732">
        <f t="shared" ref="Y83" si="52">X83+U83</f>
        <v>0</v>
      </c>
      <c r="Z83" s="733">
        <f t="shared" ref="Z83" si="53">Y83*E83</f>
        <v>0</v>
      </c>
      <c r="AA83" s="710"/>
      <c r="AB83" s="711"/>
      <c r="AC83" s="732">
        <f t="shared" ref="AC83" si="54">AB83+Y83</f>
        <v>0</v>
      </c>
      <c r="AD83" s="733">
        <f t="shared" ref="AD83" si="55">AC83*E83</f>
        <v>0</v>
      </c>
      <c r="AE83" s="712"/>
      <c r="AF83" s="711"/>
      <c r="AG83" s="732">
        <f t="shared" ref="AG83" si="56">AF83+AC83</f>
        <v>0</v>
      </c>
      <c r="AH83" s="733">
        <f t="shared" ref="AH83" si="57">AG83*E83</f>
        <v>0</v>
      </c>
      <c r="AI83" s="712"/>
      <c r="AJ83" s="708"/>
      <c r="AK83" s="733">
        <f t="shared" ref="AK83" si="58">AJ83*E83</f>
        <v>0</v>
      </c>
      <c r="AL83" s="713"/>
    </row>
    <row r="84" spans="2:38" s="527" customFormat="1" ht="13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/>
      <c r="M84" s="704">
        <f t="shared" ref="M84:M89" si="59">+L84*$E84</f>
        <v>0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0</v>
      </c>
      <c r="V84" s="733">
        <f t="shared" ref="V84:V89" si="61">U84*E84</f>
        <v>0</v>
      </c>
      <c r="W84" s="710"/>
      <c r="X84" s="711"/>
      <c r="Y84" s="732">
        <f t="shared" si="2"/>
        <v>0</v>
      </c>
      <c r="Z84" s="733">
        <f t="shared" si="3"/>
        <v>0</v>
      </c>
      <c r="AA84" s="710"/>
      <c r="AB84" s="711"/>
      <c r="AC84" s="732">
        <f t="shared" si="4"/>
        <v>0</v>
      </c>
      <c r="AD84" s="733">
        <f t="shared" si="5"/>
        <v>0</v>
      </c>
      <c r="AE84" s="712"/>
      <c r="AF84" s="711"/>
      <c r="AG84" s="732">
        <f t="shared" si="6"/>
        <v>0</v>
      </c>
      <c r="AH84" s="733">
        <f t="shared" si="7"/>
        <v>0</v>
      </c>
      <c r="AI84" s="712"/>
      <c r="AJ84" s="708"/>
      <c r="AK84" s="733">
        <f t="shared" si="8"/>
        <v>0</v>
      </c>
      <c r="AL84" s="713"/>
    </row>
    <row r="85" spans="2:38" s="527" customFormat="1" ht="13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ht="13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ht="13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18</v>
      </c>
      <c r="M87" s="704">
        <f t="shared" si="59"/>
        <v>1710</v>
      </c>
      <c r="N87" s="735"/>
      <c r="O87" s="736"/>
      <c r="P87" s="735"/>
      <c r="Q87" s="737"/>
      <c r="R87" s="738"/>
      <c r="S87" s="736"/>
      <c r="T87" s="739"/>
      <c r="U87" s="732">
        <f t="shared" si="60"/>
        <v>18</v>
      </c>
      <c r="V87" s="733">
        <f t="shared" si="61"/>
        <v>1710</v>
      </c>
      <c r="W87" s="740"/>
      <c r="X87" s="739"/>
      <c r="Y87" s="732">
        <f t="shared" si="2"/>
        <v>18</v>
      </c>
      <c r="Z87" s="733">
        <f t="shared" si="3"/>
        <v>1710</v>
      </c>
      <c r="AA87" s="710"/>
      <c r="AB87" s="711"/>
      <c r="AC87" s="732">
        <f t="shared" si="4"/>
        <v>18</v>
      </c>
      <c r="AD87" s="733">
        <f t="shared" si="5"/>
        <v>1710</v>
      </c>
      <c r="AE87" s="712"/>
      <c r="AF87" s="711"/>
      <c r="AG87" s="732">
        <f t="shared" si="6"/>
        <v>18</v>
      </c>
      <c r="AH87" s="733">
        <f t="shared" si="7"/>
        <v>1710</v>
      </c>
      <c r="AI87" s="712"/>
      <c r="AJ87" s="708"/>
      <c r="AK87" s="733">
        <f t="shared" si="8"/>
        <v>0</v>
      </c>
      <c r="AL87" s="713"/>
    </row>
    <row r="88" spans="2:38" s="527" customFormat="1" ht="13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ht="13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 ht="13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INFO'!F53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INFO'!F54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ht="13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INFO'!F56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ht="13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INFO'!F55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ht="13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ht="13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INFO'!F77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ht="13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INFO'!F78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ht="13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INFO'!F57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ht="13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INFO'!F58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ht="13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INFO'!F59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ht="13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INFO'!F60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ht="13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 ht="13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INFO'!F95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ht="13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ht="13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ht="13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ht="13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ht="13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 ht="13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2469.25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ht="13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ht="13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ht="13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ht="13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>
        <v>20</v>
      </c>
      <c r="G128" s="704">
        <f t="shared" si="128"/>
        <v>327.8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20</v>
      </c>
      <c r="V128" s="733">
        <f t="shared" si="130"/>
        <v>327.8</v>
      </c>
      <c r="W128" s="710"/>
      <c r="X128" s="711"/>
      <c r="Y128" s="732">
        <f t="shared" si="100"/>
        <v>20</v>
      </c>
      <c r="Z128" s="733">
        <f t="shared" si="101"/>
        <v>327.8</v>
      </c>
      <c r="AA128" s="710"/>
      <c r="AB128" s="711"/>
      <c r="AC128" s="732">
        <f t="shared" si="102"/>
        <v>20</v>
      </c>
      <c r="AD128" s="733">
        <f t="shared" si="103"/>
        <v>327.8</v>
      </c>
      <c r="AE128" s="712"/>
      <c r="AF128" s="711"/>
      <c r="AG128" s="732">
        <f t="shared" si="104"/>
        <v>20</v>
      </c>
      <c r="AH128" s="733">
        <f t="shared" si="105"/>
        <v>327.8</v>
      </c>
      <c r="AI128" s="712"/>
      <c r="AJ128" s="708"/>
      <c r="AK128" s="733">
        <f t="shared" si="106"/>
        <v>0</v>
      </c>
      <c r="AL128" s="713"/>
    </row>
    <row r="129" spans="2:38" s="527" customFormat="1" ht="13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ht="13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ht="13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ht="13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ht="13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ht="13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ht="13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ht="13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ht="13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ht="13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ht="13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ht="13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ht="13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ht="13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ht="13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114</v>
      </c>
      <c r="G143" s="704">
        <f t="shared" si="128"/>
        <v>741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114</v>
      </c>
      <c r="V143" s="733">
        <f t="shared" si="130"/>
        <v>741</v>
      </c>
      <c r="W143" s="710"/>
      <c r="X143" s="711"/>
      <c r="Y143" s="732">
        <f t="shared" si="100"/>
        <v>114</v>
      </c>
      <c r="Z143" s="733">
        <f t="shared" si="101"/>
        <v>741</v>
      </c>
      <c r="AA143" s="710"/>
      <c r="AB143" s="711"/>
      <c r="AC143" s="732">
        <f t="shared" si="102"/>
        <v>114</v>
      </c>
      <c r="AD143" s="733">
        <f t="shared" si="103"/>
        <v>741</v>
      </c>
      <c r="AE143" s="712"/>
      <c r="AF143" s="711"/>
      <c r="AG143" s="732">
        <f t="shared" si="104"/>
        <v>114</v>
      </c>
      <c r="AH143" s="733">
        <f t="shared" si="105"/>
        <v>741</v>
      </c>
      <c r="AI143" s="712"/>
      <c r="AJ143" s="708"/>
      <c r="AK143" s="733">
        <f t="shared" si="106"/>
        <v>0</v>
      </c>
      <c r="AL143" s="713"/>
    </row>
    <row r="144" spans="2:38" s="527" customFormat="1" ht="13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f>5+4+65+20</f>
        <v>94</v>
      </c>
      <c r="G144" s="704">
        <f t="shared" si="128"/>
        <v>611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94</v>
      </c>
      <c r="V144" s="733">
        <f t="shared" si="130"/>
        <v>611</v>
      </c>
      <c r="W144" s="710"/>
      <c r="X144" s="711"/>
      <c r="Y144" s="732">
        <f t="shared" si="100"/>
        <v>94</v>
      </c>
      <c r="Z144" s="733">
        <f t="shared" si="101"/>
        <v>611</v>
      </c>
      <c r="AA144" s="710"/>
      <c r="AB144" s="711"/>
      <c r="AC144" s="732">
        <f t="shared" si="102"/>
        <v>94</v>
      </c>
      <c r="AD144" s="733">
        <f t="shared" si="103"/>
        <v>611</v>
      </c>
      <c r="AE144" s="712"/>
      <c r="AF144" s="711"/>
      <c r="AG144" s="732">
        <f t="shared" si="104"/>
        <v>94</v>
      </c>
      <c r="AH144" s="733">
        <f t="shared" si="105"/>
        <v>611</v>
      </c>
      <c r="AI144" s="712"/>
      <c r="AJ144" s="708"/>
      <c r="AK144" s="733">
        <f t="shared" si="106"/>
        <v>0</v>
      </c>
      <c r="AL144" s="713"/>
    </row>
    <row r="145" spans="2:38" s="527" customFormat="1" ht="13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v>4</v>
      </c>
      <c r="G145" s="704">
        <f t="shared" ref="G145:G158" si="131">+F145*E145</f>
        <v>65.56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4</v>
      </c>
      <c r="V145" s="733">
        <f t="shared" ref="V145:V158" si="133">U145*E145</f>
        <v>65.56</v>
      </c>
      <c r="W145" s="710"/>
      <c r="X145" s="711"/>
      <c r="Y145" s="732">
        <f t="shared" ref="Y145:Y158" si="134">X145+U145</f>
        <v>4</v>
      </c>
      <c r="Z145" s="733">
        <f t="shared" ref="Z145:Z158" si="135">Y145*E145</f>
        <v>65.56</v>
      </c>
      <c r="AA145" s="710"/>
      <c r="AB145" s="711"/>
      <c r="AC145" s="732">
        <f t="shared" ref="AC145:AC158" si="136">AB145+Y145</f>
        <v>4</v>
      </c>
      <c r="AD145" s="733">
        <f t="shared" ref="AD145:AD158" si="137">AC145*E145</f>
        <v>65.56</v>
      </c>
      <c r="AE145" s="712"/>
      <c r="AF145" s="711"/>
      <c r="AG145" s="732">
        <f t="shared" ref="AG145:AG158" si="138">AF145+AC145</f>
        <v>4</v>
      </c>
      <c r="AH145" s="733">
        <f t="shared" ref="AH145:AH158" si="139">AG145*E145</f>
        <v>65.56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5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ht="13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ht="13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ht="13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ht="13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ht="13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ht="13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ht="13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ht="13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ht="13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ht="13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ht="13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ht="13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ht="13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v>19</v>
      </c>
      <c r="G159" s="704">
        <f t="shared" ref="G159" si="141">+F159*E159</f>
        <v>475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19</v>
      </c>
      <c r="V159" s="733">
        <f t="shared" ref="V159" si="143">U159*E159</f>
        <v>475</v>
      </c>
      <c r="W159" s="710"/>
      <c r="X159" s="711"/>
      <c r="Y159" s="732">
        <f t="shared" ref="Y159" si="144">X159+U159</f>
        <v>19</v>
      </c>
      <c r="Z159" s="733">
        <f t="shared" ref="Z159" si="145">Y159*E159</f>
        <v>475</v>
      </c>
      <c r="AA159" s="710"/>
      <c r="AB159" s="711"/>
      <c r="AC159" s="732">
        <f t="shared" ref="AC159" si="146">AB159+Y159</f>
        <v>19</v>
      </c>
      <c r="AD159" s="733">
        <f t="shared" ref="AD159" si="147">AC159*E159</f>
        <v>475</v>
      </c>
      <c r="AE159" s="712"/>
      <c r="AF159" s="711"/>
      <c r="AG159" s="732">
        <f t="shared" ref="AG159" si="148">AF159+AC159</f>
        <v>19</v>
      </c>
      <c r="AH159" s="733">
        <f t="shared" ref="AH159" si="149">AG159*E159</f>
        <v>475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 ht="13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360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ht="13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>
        <f>'ROUTE INFO'!I82+'ROUTE INFO'!I87</f>
        <v>0</v>
      </c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ht="13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ht="13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>
        <v>80</v>
      </c>
      <c r="O163" s="704">
        <f t="shared" ref="O163" si="151">+N163*$E163</f>
        <v>360</v>
      </c>
      <c r="P163" s="767"/>
      <c r="Q163" s="768"/>
      <c r="R163" s="769"/>
      <c r="S163" s="729"/>
      <c r="T163" s="711"/>
      <c r="U163" s="732">
        <f>T163+N163</f>
        <v>80</v>
      </c>
      <c r="V163" s="733">
        <f>U163*E163</f>
        <v>360</v>
      </c>
      <c r="W163" s="710"/>
      <c r="X163" s="711"/>
      <c r="Y163" s="732">
        <f t="shared" si="100"/>
        <v>80</v>
      </c>
      <c r="Z163" s="733">
        <f t="shared" si="101"/>
        <v>360</v>
      </c>
      <c r="AA163" s="710"/>
      <c r="AB163" s="711"/>
      <c r="AC163" s="732">
        <f t="shared" si="102"/>
        <v>80</v>
      </c>
      <c r="AD163" s="733">
        <f t="shared" si="103"/>
        <v>360</v>
      </c>
      <c r="AE163" s="712"/>
      <c r="AF163" s="711"/>
      <c r="AG163" s="732">
        <f t="shared" si="104"/>
        <v>80</v>
      </c>
      <c r="AH163" s="733">
        <f t="shared" si="105"/>
        <v>360</v>
      </c>
      <c r="AI163" s="712"/>
      <c r="AJ163" s="708"/>
      <c r="AK163" s="733">
        <f t="shared" si="106"/>
        <v>0</v>
      </c>
      <c r="AL163" s="713"/>
    </row>
    <row r="164" spans="2:38" s="527" customFormat="1" ht="13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ht="13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ht="13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ht="13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ht="13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13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ht="13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ht="13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ht="13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ht="13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 ht="13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180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ht="13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ht="13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>
        <v>12</v>
      </c>
      <c r="O176" s="704">
        <f t="shared" ref="O176" si="167">+N176*$E176</f>
        <v>180</v>
      </c>
      <c r="P176" s="767"/>
      <c r="Q176" s="768"/>
      <c r="R176" s="769"/>
      <c r="S176" s="729"/>
      <c r="T176" s="711"/>
      <c r="U176" s="732">
        <f>T176+N176</f>
        <v>12</v>
      </c>
      <c r="V176" s="733">
        <f>U176*E176</f>
        <v>180</v>
      </c>
      <c r="W176" s="710"/>
      <c r="X176" s="711"/>
      <c r="Y176" s="732">
        <f>X176+U176</f>
        <v>12</v>
      </c>
      <c r="Z176" s="733">
        <f t="shared" si="101"/>
        <v>180</v>
      </c>
      <c r="AA176" s="710"/>
      <c r="AB176" s="711"/>
      <c r="AC176" s="732">
        <f>AB176+Y176</f>
        <v>12</v>
      </c>
      <c r="AD176" s="733">
        <f t="shared" si="103"/>
        <v>180</v>
      </c>
      <c r="AE176" s="712"/>
      <c r="AF176" s="711"/>
      <c r="AG176" s="732">
        <f>AF176+AC176</f>
        <v>12</v>
      </c>
      <c r="AH176" s="733">
        <f t="shared" si="105"/>
        <v>180</v>
      </c>
      <c r="AI176" s="712"/>
      <c r="AJ176" s="708"/>
      <c r="AK176" s="733">
        <f>AJ176*E176</f>
        <v>0</v>
      </c>
      <c r="AL176" s="713"/>
    </row>
    <row r="177" spans="2:38" s="527" customFormat="1" ht="13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ht="13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ht="13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 ht="13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ht="13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ht="13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ht="13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ht="13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ht="13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ht="13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ht="13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ht="13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ht="13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ht="13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ht="13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ht="13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ht="13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ht="13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ht="13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 ht="13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ht="13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ht="13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ht="13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5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5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5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5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5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5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5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5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ht="13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ht="13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ht="13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ht="13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ht="13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 ht="13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ht="13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ht="13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ht="13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ht="13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ht="13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ht="13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 ht="13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ht="13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ht="13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ht="13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 ht="13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ht="13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ht="13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ht="13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ht="13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ht="13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ht="13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75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75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75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75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75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20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6364.38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1710</v>
      </c>
      <c r="N246" s="825"/>
      <c r="O246" s="828">
        <f>O14+O65+O160+O169+O174</f>
        <v>540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8829.380000000001</v>
      </c>
      <c r="W246" s="825"/>
      <c r="X246" s="825"/>
      <c r="Y246" s="829"/>
      <c r="Z246" s="830">
        <f>SUM(Z14:Z245)</f>
        <v>8829.380000000001</v>
      </c>
      <c r="AA246" s="825"/>
      <c r="AB246" s="825"/>
      <c r="AC246" s="825"/>
      <c r="AD246" s="830">
        <f>SUM(AD14:AD245)</f>
        <v>8829.380000000001</v>
      </c>
      <c r="AE246" s="825"/>
      <c r="AF246" s="825"/>
      <c r="AG246" s="825"/>
      <c r="AH246" s="830">
        <f>SUM(AH14:AH245)</f>
        <v>8829.380000000001</v>
      </c>
      <c r="AI246" s="825"/>
      <c r="AJ246" s="825"/>
      <c r="AK246" s="830">
        <f>SUM(AK14:AK245)</f>
        <v>0</v>
      </c>
      <c r="AL246" s="825"/>
    </row>
    <row r="247" spans="1:38" ht="14.5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-8829.380000000001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8829.380000000001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88"/>
      <c r="E252" s="1088"/>
      <c r="F252" s="1088"/>
      <c r="G252" s="995">
        <f>'MATERIAL REQUEST'!H275</f>
        <v>9994.9400000000023</v>
      </c>
      <c r="H252" s="158"/>
      <c r="I252" s="205"/>
      <c r="T252" s="158"/>
      <c r="U252" s="158"/>
    </row>
    <row r="253" spans="1:38" s="151" customFormat="1" ht="18.5" thickBot="1">
      <c r="A253" s="158"/>
      <c r="B253" s="158"/>
      <c r="C253" s="200" t="s">
        <v>347</v>
      </c>
      <c r="D253" s="1088"/>
      <c r="E253" s="1088"/>
      <c r="F253" s="1088"/>
      <c r="G253" s="206">
        <f>G251+G252</f>
        <v>18824.320000000003</v>
      </c>
      <c r="H253" s="158"/>
      <c r="I253" s="205"/>
      <c r="T253" s="158"/>
      <c r="U253" s="158"/>
    </row>
    <row r="254" spans="1:38" s="151" customFormat="1" ht="14.5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53125" defaultRowHeight="14" outlineLevelRow="1"/>
  <cols>
    <col min="1" max="1" width="4.90625" style="20" customWidth="1"/>
    <col min="2" max="2" width="25.08984375" style="20" customWidth="1"/>
    <col min="3" max="3" width="113.54296875" style="20" customWidth="1"/>
    <col min="4" max="4" width="17.36328125" style="20" customWidth="1"/>
    <col min="5" max="5" width="12.6328125" style="20" customWidth="1"/>
    <col min="6" max="6" width="7.453125" style="20" bestFit="1" customWidth="1"/>
    <col min="7" max="7" width="7.81640625" style="20" hidden="1" customWidth="1"/>
    <col min="8" max="9" width="10.453125" style="20" hidden="1" customWidth="1"/>
    <col min="10" max="10" width="27" style="20" bestFit="1" customWidth="1"/>
    <col min="11" max="11" width="45.54296875" style="20" bestFit="1" customWidth="1"/>
    <col min="12" max="12" width="20" style="20" customWidth="1"/>
    <col min="13" max="13" width="14.90625" style="20" customWidth="1"/>
    <col min="14" max="14" width="73.81640625" style="20" bestFit="1" customWidth="1"/>
    <col min="15" max="15" width="26.1796875" style="20" bestFit="1" customWidth="1"/>
    <col min="16" max="20" width="20" style="20" customWidth="1"/>
    <col min="21" max="16384" width="4.453125" style="20"/>
  </cols>
  <sheetData>
    <row r="1" spans="1:11" ht="16" thickBot="1">
      <c r="A1" s="25" t="s">
        <v>117</v>
      </c>
      <c r="B1" s="26" t="s">
        <v>438</v>
      </c>
      <c r="C1" s="27"/>
      <c r="D1" s="27"/>
      <c r="E1" s="27"/>
    </row>
    <row r="2" spans="1:11" ht="20.5" thickBot="1">
      <c r="A2" s="27"/>
      <c r="B2" s="1096" t="s">
        <v>473</v>
      </c>
      <c r="C2" s="1097"/>
      <c r="D2" s="1097"/>
      <c r="E2" s="1210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1" t="s">
        <v>362</v>
      </c>
      <c r="E3" s="1212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3" t="s">
        <v>2</v>
      </c>
      <c r="E4" s="1214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3" t="s">
        <v>3</v>
      </c>
      <c r="E5" s="1214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5" t="s">
        <v>361</v>
      </c>
      <c r="E7" s="1216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5" thickBot="1">
      <c r="A12" s="27"/>
      <c r="B12" s="1208" t="s">
        <v>280</v>
      </c>
      <c r="C12" s="1209"/>
      <c r="D12" s="1209"/>
      <c r="E12" s="1209"/>
    </row>
    <row r="13" spans="1:11" ht="14.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ht="13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ht="13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ht="13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ht="13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ht="13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ht="13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ht="13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ht="13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ht="13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ht="13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75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75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75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75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75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75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75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75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75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75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75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75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75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75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75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75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75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75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75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75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75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75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75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5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94"/>
      <c r="E251" s="1194"/>
    </row>
    <row r="252" spans="1:15" ht="18">
      <c r="B252" s="10"/>
      <c r="C252" s="11"/>
      <c r="D252" s="1194"/>
      <c r="E252" s="1194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5"/>
  <cols>
    <col min="2" max="2" width="7.54296875" bestFit="1" customWidth="1"/>
    <col min="3" max="3" width="17.81640625" bestFit="1" customWidth="1"/>
    <col min="4" max="4" width="81" bestFit="1" customWidth="1"/>
  </cols>
  <sheetData>
    <row r="1" spans="2:4" ht="15" thickBot="1"/>
    <row r="2" spans="2:4" ht="26.5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opLeftCell="A221" zoomScale="80" zoomScaleNormal="80" workbookViewId="0">
      <selection activeCell="F228" sqref="F228"/>
    </sheetView>
  </sheetViews>
  <sheetFormatPr defaultRowHeight="14.5"/>
  <cols>
    <col min="1" max="1" width="3.36328125" customWidth="1"/>
    <col min="2" max="2" width="26.36328125" customWidth="1"/>
    <col min="3" max="3" width="35.1796875" bestFit="1" customWidth="1"/>
    <col min="4" max="4" width="94.90625" bestFit="1" customWidth="1"/>
    <col min="5" max="5" width="14.36328125" customWidth="1"/>
    <col min="6" max="6" width="20" customWidth="1"/>
    <col min="7" max="7" width="18.453125" bestFit="1" customWidth="1"/>
    <col min="8" max="8" width="18.81640625" customWidth="1"/>
    <col min="9" max="9" width="14.08984375" customWidth="1"/>
    <col min="10" max="10" width="16.90625" customWidth="1"/>
    <col min="11" max="11" width="18.81640625" customWidth="1"/>
    <col min="12" max="12" width="20.81640625" customWidth="1"/>
    <col min="13" max="13" width="13" customWidth="1"/>
    <col min="14" max="14" width="16.90625" customWidth="1"/>
    <col min="15" max="15" width="18.81640625" customWidth="1"/>
    <col min="16" max="16" width="20.81640625" customWidth="1"/>
    <col min="17" max="17" width="12.453125" customWidth="1"/>
    <col min="18" max="18" width="17.08984375" customWidth="1"/>
    <col min="19" max="19" width="18.81640625" customWidth="1"/>
    <col min="20" max="20" width="20.81640625" customWidth="1"/>
    <col min="21" max="21" width="13.453125" customWidth="1"/>
    <col min="22" max="22" width="16.6328125" customWidth="1"/>
    <col min="23" max="23" width="18.81640625" customWidth="1"/>
    <col min="24" max="24" width="20.81640625" customWidth="1"/>
  </cols>
  <sheetData>
    <row r="1" spans="2:24" ht="40.5" customHeight="1" thickBot="1">
      <c r="B1" s="1134" t="str">
        <f>'Infra Build BOQ'!B2:I2</f>
        <v>56K0000005_R1  /  56K0000005_R1</v>
      </c>
      <c r="C1" s="1135"/>
      <c r="D1" s="1135"/>
      <c r="E1" s="1135"/>
      <c r="F1" s="1135"/>
      <c r="G1" s="1135"/>
      <c r="H1" s="1136"/>
    </row>
    <row r="2" spans="2:24" ht="15.5">
      <c r="B2" s="88" t="s">
        <v>1</v>
      </c>
      <c r="C2" s="1137" t="str">
        <f>'Infra Build BOQ'!C3</f>
        <v>56K0000005_R1  /  56K0000005_R1</v>
      </c>
      <c r="D2" s="1138"/>
      <c r="E2" s="1143" t="s">
        <v>362</v>
      </c>
      <c r="F2" s="1144"/>
      <c r="G2" s="1098" t="str">
        <f>'Infra Build BOQ'!F3</f>
        <v>K1SITA013</v>
      </c>
      <c r="H2" s="1100"/>
    </row>
    <row r="3" spans="2:24" ht="15.5">
      <c r="B3" s="89" t="s">
        <v>0</v>
      </c>
      <c r="C3" s="1139" t="str">
        <f>'Infra Build BOQ'!C4</f>
        <v>Sita</v>
      </c>
      <c r="D3" s="1140"/>
      <c r="E3" s="1145" t="s">
        <v>2</v>
      </c>
      <c r="F3" s="1146"/>
      <c r="G3" s="1101" t="str">
        <f>'Infra Build BOQ'!F4</f>
        <v>Ethekwini</v>
      </c>
      <c r="H3" s="1103"/>
    </row>
    <row r="4" spans="2:24" ht="15.5">
      <c r="B4" s="90" t="s">
        <v>437</v>
      </c>
      <c r="C4" s="1139">
        <f>'EXE Dashboard'!C22</f>
        <v>0</v>
      </c>
      <c r="D4" s="1140"/>
      <c r="E4" s="1145" t="s">
        <v>3</v>
      </c>
      <c r="F4" s="1146"/>
      <c r="G4" s="1104" t="str">
        <f>'Infra Build BOQ'!F5</f>
        <v>23/08/2023</v>
      </c>
      <c r="H4" s="1106"/>
    </row>
    <row r="5" spans="2:24" ht="16" thickBot="1">
      <c r="B5" s="29" t="s">
        <v>230</v>
      </c>
      <c r="C5" s="1141" t="s">
        <v>439</v>
      </c>
      <c r="D5" s="1142"/>
      <c r="E5" s="1147" t="s">
        <v>361</v>
      </c>
      <c r="F5" s="1148"/>
      <c r="G5" s="1149" t="str">
        <f>'Infra Build BOQ'!F6</f>
        <v>Siltek House - Phoenix Welfare</v>
      </c>
      <c r="H5" s="1150"/>
    </row>
    <row r="6" spans="2:24" ht="15" thickBot="1"/>
    <row r="7" spans="2:24" ht="15" thickBot="1">
      <c r="B7" s="1131" t="s">
        <v>441</v>
      </c>
      <c r="C7" s="1132"/>
      <c r="D7" s="1132"/>
      <c r="E7" s="1132"/>
      <c r="F7" s="1132"/>
      <c r="G7" s="1132"/>
      <c r="H7" s="1132"/>
      <c r="I7" s="1131" t="s">
        <v>442</v>
      </c>
      <c r="J7" s="1132"/>
      <c r="K7" s="1132"/>
      <c r="L7" s="1132"/>
      <c r="M7" s="1131" t="s">
        <v>443</v>
      </c>
      <c r="N7" s="1132"/>
      <c r="O7" s="1132"/>
      <c r="P7" s="1132"/>
      <c r="Q7" s="1131" t="s">
        <v>444</v>
      </c>
      <c r="R7" s="1132"/>
      <c r="S7" s="1132"/>
      <c r="T7" s="1132"/>
      <c r="U7" s="1131" t="s">
        <v>445</v>
      </c>
      <c r="V7" s="1132"/>
      <c r="W7" s="1132"/>
      <c r="X7" s="1133"/>
    </row>
    <row r="8" spans="2:24" s="249" customFormat="1" ht="31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5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INFO'!I68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5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INFO'!I71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5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INFO'!I75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5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INFO'!I83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5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INFO'!I84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5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INFO'!I85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5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INFO'!I86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5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5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5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5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INFO'!I76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5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INFO'!I77</f>
        <v>0</v>
      </c>
      <c r="G20" s="538">
        <v>2.85</v>
      </c>
      <c r="H20" s="535">
        <f t="shared" si="27"/>
        <v>0</v>
      </c>
      <c r="I20" s="536"/>
      <c r="J20" s="463">
        <f t="shared" si="36"/>
        <v>0</v>
      </c>
      <c r="K20" s="464">
        <f t="shared" si="37"/>
        <v>0</v>
      </c>
      <c r="L20" s="473"/>
      <c r="M20" s="458"/>
      <c r="N20" s="463">
        <f t="shared" si="38"/>
        <v>0</v>
      </c>
      <c r="O20" s="464">
        <f t="shared" si="39"/>
        <v>0</v>
      </c>
      <c r="P20" s="473"/>
      <c r="Q20" s="458"/>
      <c r="R20" s="463">
        <f t="shared" si="40"/>
        <v>0</v>
      </c>
      <c r="S20" s="464">
        <f t="shared" si="41"/>
        <v>0</v>
      </c>
      <c r="T20" s="473"/>
      <c r="U20" s="458"/>
      <c r="V20" s="463">
        <f t="shared" si="42"/>
        <v>0</v>
      </c>
      <c r="W20" s="464">
        <f t="shared" si="43"/>
        <v>0</v>
      </c>
      <c r="X20" s="459"/>
    </row>
    <row r="21" spans="2:24" ht="15.65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INFO'!I78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5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INFO'!I79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5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INFO'!I80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5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INFO'!I81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5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INFO'!I58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5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INFO'!I57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5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INFO'!I56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5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INFO'!I61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5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INFO'!I62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5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INFO'!I63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5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INFO'!I64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5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INFO'!I65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5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INFO'!I66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5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INFO'!I67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5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INFO'!I55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5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INFO'!I54</f>
        <v>194</v>
      </c>
      <c r="G36" s="311">
        <v>6.11</v>
      </c>
      <c r="H36" s="457">
        <f t="shared" si="0"/>
        <v>1185.3400000000001</v>
      </c>
      <c r="I36" s="458"/>
      <c r="J36" s="463">
        <f t="shared" ref="J36" si="53">I36+F36</f>
        <v>194</v>
      </c>
      <c r="K36" s="464">
        <f t="shared" ref="K36" si="54">J36*G36</f>
        <v>1185.3400000000001</v>
      </c>
      <c r="L36" s="473"/>
      <c r="M36" s="458"/>
      <c r="N36" s="463">
        <f t="shared" ref="N36" si="55">M36+J36</f>
        <v>194</v>
      </c>
      <c r="O36" s="464">
        <f t="shared" ref="O36" si="56">N36*G36</f>
        <v>1185.3400000000001</v>
      </c>
      <c r="P36" s="473"/>
      <c r="Q36" s="458"/>
      <c r="R36" s="463">
        <f t="shared" ref="R36" si="57">Q36+N36</f>
        <v>194</v>
      </c>
      <c r="S36" s="464">
        <f t="shared" ref="S36" si="58">R36*G36</f>
        <v>1185.3400000000001</v>
      </c>
      <c r="T36" s="473"/>
      <c r="U36" s="458"/>
      <c r="V36" s="463">
        <f t="shared" ref="V36" si="59">U36+R36</f>
        <v>194</v>
      </c>
      <c r="W36" s="464">
        <f t="shared" ref="W36" si="60">V36*G36</f>
        <v>1185.3400000000001</v>
      </c>
      <c r="X36" s="459"/>
    </row>
    <row r="37" spans="2:24" ht="15.65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INFO'!I59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5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INFO'!I60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5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INFO'!I90</f>
        <v>161.69999999999999</v>
      </c>
      <c r="G39" s="263">
        <v>5.2</v>
      </c>
      <c r="H39" s="457">
        <f t="shared" si="0"/>
        <v>840.83999999999992</v>
      </c>
      <c r="I39" s="458"/>
      <c r="J39" s="463">
        <f t="shared" si="1"/>
        <v>161.69999999999999</v>
      </c>
      <c r="K39" s="464">
        <f t="shared" si="2"/>
        <v>840.83999999999992</v>
      </c>
      <c r="L39" s="473"/>
      <c r="M39" s="458"/>
      <c r="N39" s="463">
        <f t="shared" si="3"/>
        <v>161.69999999999999</v>
      </c>
      <c r="O39" s="464">
        <f t="shared" si="4"/>
        <v>840.83999999999992</v>
      </c>
      <c r="P39" s="473"/>
      <c r="Q39" s="458"/>
      <c r="R39" s="463">
        <f t="shared" si="5"/>
        <v>161.69999999999999</v>
      </c>
      <c r="S39" s="464">
        <f t="shared" si="6"/>
        <v>840.83999999999992</v>
      </c>
      <c r="T39" s="473"/>
      <c r="U39" s="458"/>
      <c r="V39" s="463">
        <f t="shared" si="7"/>
        <v>161.69999999999999</v>
      </c>
      <c r="W39" s="464">
        <f t="shared" si="8"/>
        <v>840.83999999999992</v>
      </c>
      <c r="X39" s="459"/>
    </row>
    <row r="40" spans="2:24" ht="15.65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INFO'!I91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5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INFO'!I92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5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INFO'!I93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5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INFO'!I94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5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INFO'!I95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5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INFO'!I96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5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5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5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5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5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5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5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5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5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INFO'!F94</f>
        <v>55</v>
      </c>
      <c r="G54" s="262">
        <v>24.2</v>
      </c>
      <c r="H54" s="457">
        <f t="shared" si="79"/>
        <v>1331</v>
      </c>
      <c r="I54" s="458"/>
      <c r="J54" s="463">
        <f t="shared" si="80"/>
        <v>55</v>
      </c>
      <c r="K54" s="464">
        <f t="shared" si="81"/>
        <v>1331</v>
      </c>
      <c r="L54" s="473"/>
      <c r="M54" s="458"/>
      <c r="N54" s="463">
        <f t="shared" si="82"/>
        <v>55</v>
      </c>
      <c r="O54" s="464">
        <f t="shared" si="83"/>
        <v>1331</v>
      </c>
      <c r="P54" s="473"/>
      <c r="Q54" s="458"/>
      <c r="R54" s="463">
        <f t="shared" si="84"/>
        <v>55</v>
      </c>
      <c r="S54" s="464">
        <f t="shared" si="85"/>
        <v>1331</v>
      </c>
      <c r="T54" s="473"/>
      <c r="U54" s="458"/>
      <c r="V54" s="463">
        <f t="shared" si="86"/>
        <v>55</v>
      </c>
      <c r="W54" s="464">
        <f t="shared" si="87"/>
        <v>1331</v>
      </c>
      <c r="X54" s="459"/>
    </row>
    <row r="55" spans="2:24" ht="15.5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INFO'!F95*1.1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5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5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INFO'!F93*1.1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5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INFO'!F92*1.1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5">
      <c r="B59" s="183" t="s">
        <v>424</v>
      </c>
      <c r="C59" s="184" t="s">
        <v>249</v>
      </c>
      <c r="D59" s="185" t="s">
        <v>248</v>
      </c>
      <c r="E59" s="185" t="s">
        <v>23</v>
      </c>
      <c r="F59" s="97">
        <v>55</v>
      </c>
      <c r="G59" s="262">
        <v>1</v>
      </c>
      <c r="H59" s="457">
        <f t="shared" si="0"/>
        <v>55</v>
      </c>
      <c r="I59" s="458"/>
      <c r="J59" s="463">
        <f t="shared" si="1"/>
        <v>55</v>
      </c>
      <c r="K59" s="464">
        <f t="shared" si="2"/>
        <v>55</v>
      </c>
      <c r="L59" s="473"/>
      <c r="M59" s="458"/>
      <c r="N59" s="463">
        <f t="shared" si="3"/>
        <v>55</v>
      </c>
      <c r="O59" s="464">
        <f t="shared" si="4"/>
        <v>55</v>
      </c>
      <c r="P59" s="473"/>
      <c r="Q59" s="458"/>
      <c r="R59" s="463">
        <f t="shared" si="5"/>
        <v>55</v>
      </c>
      <c r="S59" s="464">
        <f t="shared" si="6"/>
        <v>55</v>
      </c>
      <c r="T59" s="473"/>
      <c r="U59" s="458"/>
      <c r="V59" s="463">
        <f t="shared" si="7"/>
        <v>55</v>
      </c>
      <c r="W59" s="464">
        <f t="shared" si="8"/>
        <v>55</v>
      </c>
      <c r="X59" s="459"/>
    </row>
    <row r="60" spans="2:24" ht="15.5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5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5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5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5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5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5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5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5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5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5">
      <c r="B70" s="503" t="s">
        <v>424</v>
      </c>
      <c r="C70" s="513" t="s">
        <v>871</v>
      </c>
      <c r="D70" s="514" t="s">
        <v>906</v>
      </c>
      <c r="E70" s="514" t="s">
        <v>23</v>
      </c>
      <c r="F70" s="508">
        <v>4</v>
      </c>
      <c r="G70" s="516">
        <v>25</v>
      </c>
      <c r="H70" s="457">
        <f t="shared" si="105"/>
        <v>100</v>
      </c>
      <c r="I70" s="458"/>
      <c r="J70" s="463">
        <f t="shared" ref="J70:J80" si="124">I70+F70</f>
        <v>4</v>
      </c>
      <c r="K70" s="464">
        <f t="shared" ref="K70:K80" si="125">J70*G70</f>
        <v>100</v>
      </c>
      <c r="L70" s="473"/>
      <c r="M70" s="458"/>
      <c r="N70" s="463">
        <f t="shared" ref="N70:N80" si="126">M70+J70</f>
        <v>4</v>
      </c>
      <c r="O70" s="464">
        <f t="shared" ref="O70:O80" si="127">N70*G70</f>
        <v>100</v>
      </c>
      <c r="P70" s="473"/>
      <c r="Q70" s="458"/>
      <c r="R70" s="463">
        <f t="shared" ref="R70:R80" si="128">Q70+N70</f>
        <v>4</v>
      </c>
      <c r="S70" s="464">
        <f t="shared" ref="S70:S80" si="129">R70*G70</f>
        <v>100</v>
      </c>
      <c r="T70" s="473"/>
      <c r="U70" s="458"/>
      <c r="V70" s="463">
        <f t="shared" ref="V70:V80" si="130">U70+R70</f>
        <v>4</v>
      </c>
      <c r="W70" s="464">
        <f t="shared" ref="W70:W80" si="131">V70*G70</f>
        <v>100</v>
      </c>
      <c r="X70" s="459"/>
    </row>
    <row r="71" spans="2:24" ht="15.5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5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5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5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5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5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5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5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5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5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5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5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5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INFO'!F98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5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5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5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5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5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5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5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5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5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5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5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5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5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5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5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5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5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5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5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5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5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5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INFO'!F61+'ROUTE INFO'!F63+'ROUTE INFO'!F65+'ROUTE INFO'!F67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5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INFO'!F62+'ROUTE INFO'!F64+'ROUTE INFO'!F66+'ROUTE INFO'!F68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5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5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5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5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5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5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5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5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5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5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5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5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5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5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5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5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5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5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5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5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5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5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5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5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5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5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5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5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5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5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5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5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5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5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5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5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5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5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INFO'!F57+'ROUTE INFO'!F58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5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INFO'!F58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5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5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5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5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5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5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5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5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INFO'!C66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5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INFO'!C67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5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5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INFO'!C68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5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5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INFO'!C53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5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INFO'!C54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5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INFO'!C55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5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INFO'!C56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5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INFO'!C57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5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INFO'!C58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5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5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5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5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5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INFO'!C59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5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INFO'!C60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5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INFO'!C61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5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INFO'!C64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5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INFO'!C65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5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5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5">
      <c r="B177" s="183" t="s">
        <v>429</v>
      </c>
      <c r="C177" s="184" t="s">
        <v>721</v>
      </c>
      <c r="D177" s="185" t="s">
        <v>580</v>
      </c>
      <c r="E177" s="185" t="s">
        <v>26</v>
      </c>
      <c r="F177" s="98">
        <v>2</v>
      </c>
      <c r="G177" s="263">
        <v>16.95</v>
      </c>
      <c r="H177" s="457">
        <f t="shared" ref="H177:H274" si="355">F177*G177</f>
        <v>33.9</v>
      </c>
      <c r="I177" s="458"/>
      <c r="J177" s="463">
        <f t="shared" ref="J177:J274" si="356">I177+F177</f>
        <v>2</v>
      </c>
      <c r="K177" s="464">
        <f t="shared" ref="K177:K274" si="357">J177*G177</f>
        <v>33.9</v>
      </c>
      <c r="L177" s="473"/>
      <c r="M177" s="458"/>
      <c r="N177" s="463">
        <f t="shared" ref="N177:N274" si="358">M177+J177</f>
        <v>2</v>
      </c>
      <c r="O177" s="464">
        <f t="shared" ref="O177:O274" si="359">N177*G177</f>
        <v>33.9</v>
      </c>
      <c r="P177" s="473"/>
      <c r="Q177" s="458"/>
      <c r="R177" s="463">
        <f t="shared" ref="R177:R274" si="360">Q177+N177</f>
        <v>2</v>
      </c>
      <c r="S177" s="464">
        <f t="shared" ref="S177:S274" si="361">R177*G177</f>
        <v>33.9</v>
      </c>
      <c r="T177" s="473"/>
      <c r="U177" s="458"/>
      <c r="V177" s="463">
        <f>U177+R177</f>
        <v>2</v>
      </c>
      <c r="W177" s="464">
        <f>V177*G177</f>
        <v>33.9</v>
      </c>
      <c r="X177" s="459"/>
    </row>
    <row r="178" spans="2:24" ht="15.5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5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5">
      <c r="B180" s="183" t="s">
        <v>429</v>
      </c>
      <c r="C180" s="184" t="s">
        <v>734</v>
      </c>
      <c r="D180" s="185" t="s">
        <v>736</v>
      </c>
      <c r="E180" s="185" t="s">
        <v>26</v>
      </c>
      <c r="F180" s="98">
        <v>2</v>
      </c>
      <c r="G180" s="263">
        <v>11.65</v>
      </c>
      <c r="H180" s="457">
        <f t="shared" si="371"/>
        <v>23.3</v>
      </c>
      <c r="I180" s="458"/>
      <c r="J180" s="463">
        <f t="shared" si="372"/>
        <v>2</v>
      </c>
      <c r="K180" s="464">
        <f t="shared" si="373"/>
        <v>23.3</v>
      </c>
      <c r="L180" s="473"/>
      <c r="M180" s="458"/>
      <c r="N180" s="463">
        <f t="shared" si="374"/>
        <v>2</v>
      </c>
      <c r="O180" s="464">
        <f t="shared" si="375"/>
        <v>23.3</v>
      </c>
      <c r="P180" s="473"/>
      <c r="Q180" s="458"/>
      <c r="R180" s="463">
        <f t="shared" si="376"/>
        <v>2</v>
      </c>
      <c r="S180" s="464">
        <f t="shared" si="377"/>
        <v>23.3</v>
      </c>
      <c r="T180" s="473"/>
      <c r="U180" s="458"/>
      <c r="V180" s="463">
        <f t="shared" si="378"/>
        <v>2</v>
      </c>
      <c r="W180" s="464">
        <f t="shared" si="379"/>
        <v>23.3</v>
      </c>
      <c r="X180" s="459"/>
    </row>
    <row r="181" spans="2:24" ht="15.5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5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5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5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5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5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5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5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5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5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5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5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5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5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5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5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5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5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5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5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5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5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5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5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5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5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5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5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5">
      <c r="B209" s="183" t="s">
        <v>429</v>
      </c>
      <c r="C209" s="442" t="s">
        <v>719</v>
      </c>
      <c r="D209" s="443" t="s">
        <v>718</v>
      </c>
      <c r="E209" s="185" t="s">
        <v>26</v>
      </c>
      <c r="F209" s="445">
        <v>6</v>
      </c>
      <c r="G209" s="446">
        <v>3</v>
      </c>
      <c r="H209" s="457">
        <f t="shared" si="398"/>
        <v>18</v>
      </c>
      <c r="I209" s="458"/>
      <c r="J209" s="463">
        <f t="shared" si="399"/>
        <v>6</v>
      </c>
      <c r="K209" s="464">
        <f t="shared" si="400"/>
        <v>18</v>
      </c>
      <c r="L209" s="473"/>
      <c r="M209" s="458"/>
      <c r="N209" s="463">
        <f t="shared" si="401"/>
        <v>6</v>
      </c>
      <c r="O209" s="464">
        <f t="shared" si="402"/>
        <v>18</v>
      </c>
      <c r="P209" s="473"/>
      <c r="Q209" s="458"/>
      <c r="R209" s="463">
        <f t="shared" si="403"/>
        <v>6</v>
      </c>
      <c r="S209" s="464">
        <f t="shared" si="404"/>
        <v>18</v>
      </c>
      <c r="T209" s="473"/>
      <c r="U209" s="458"/>
      <c r="V209" s="463">
        <f t="shared" si="405"/>
        <v>6</v>
      </c>
      <c r="W209" s="464">
        <f t="shared" si="406"/>
        <v>18</v>
      </c>
      <c r="X209" s="459"/>
    </row>
    <row r="210" spans="2:24" ht="15.5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5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5">
      <c r="B212" s="563" t="s">
        <v>965</v>
      </c>
      <c r="C212" s="564" t="s">
        <v>967</v>
      </c>
      <c r="D212" s="565" t="s">
        <v>966</v>
      </c>
      <c r="E212" s="566" t="s">
        <v>26</v>
      </c>
      <c r="F212" s="567">
        <v>1</v>
      </c>
      <c r="G212" s="568">
        <v>4864.5</v>
      </c>
      <c r="H212" s="569">
        <f t="shared" si="398"/>
        <v>4864.5</v>
      </c>
      <c r="I212" s="570"/>
      <c r="J212" s="463">
        <f t="shared" ref="J212:J222" si="407">I212+F212</f>
        <v>1</v>
      </c>
      <c r="K212" s="464">
        <f t="shared" ref="K212:K222" si="408">J212*G212</f>
        <v>4864.5</v>
      </c>
      <c r="L212" s="473"/>
      <c r="M212" s="458"/>
      <c r="N212" s="463">
        <f t="shared" ref="N212:N222" si="409">M212+J212</f>
        <v>1</v>
      </c>
      <c r="O212" s="464">
        <f t="shared" ref="O212:O222" si="410">N212*G212</f>
        <v>4864.5</v>
      </c>
      <c r="P212" s="473"/>
      <c r="Q212" s="458"/>
      <c r="R212" s="463">
        <f t="shared" ref="R212:R222" si="411">Q212+N212</f>
        <v>1</v>
      </c>
      <c r="S212" s="464">
        <f t="shared" ref="S212:S222" si="412">R212*G212</f>
        <v>4864.5</v>
      </c>
      <c r="T212" s="473"/>
      <c r="U212" s="458"/>
      <c r="V212" s="463">
        <f t="shared" ref="V212:V222" si="413">U212+R212</f>
        <v>1</v>
      </c>
      <c r="W212" s="464">
        <f t="shared" ref="W212:W222" si="414">V212*G212</f>
        <v>4864.5</v>
      </c>
      <c r="X212" s="459"/>
    </row>
    <row r="213" spans="2:24" ht="15.5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5">
      <c r="B214" s="563" t="s">
        <v>965</v>
      </c>
      <c r="C214" s="564" t="s">
        <v>970</v>
      </c>
      <c r="D214" s="565" t="s">
        <v>969</v>
      </c>
      <c r="E214" s="566" t="s">
        <v>26</v>
      </c>
      <c r="F214" s="567">
        <v>2</v>
      </c>
      <c r="G214" s="568">
        <v>398.93</v>
      </c>
      <c r="H214" s="569">
        <f t="shared" si="415"/>
        <v>797.86</v>
      </c>
      <c r="I214" s="570"/>
      <c r="J214" s="463">
        <f t="shared" si="407"/>
        <v>2</v>
      </c>
      <c r="K214" s="464">
        <f t="shared" si="408"/>
        <v>797.86</v>
      </c>
      <c r="L214" s="473"/>
      <c r="M214" s="458"/>
      <c r="N214" s="463">
        <f t="shared" si="409"/>
        <v>2</v>
      </c>
      <c r="O214" s="464">
        <f t="shared" si="410"/>
        <v>797.86</v>
      </c>
      <c r="P214" s="473"/>
      <c r="Q214" s="458"/>
      <c r="R214" s="463">
        <f t="shared" si="411"/>
        <v>2</v>
      </c>
      <c r="S214" s="464">
        <f t="shared" si="412"/>
        <v>797.86</v>
      </c>
      <c r="T214" s="473"/>
      <c r="U214" s="458"/>
      <c r="V214" s="463">
        <f t="shared" si="413"/>
        <v>2</v>
      </c>
      <c r="W214" s="464">
        <f t="shared" si="414"/>
        <v>797.86</v>
      </c>
      <c r="X214" s="459"/>
    </row>
    <row r="215" spans="2:24" ht="15.5">
      <c r="B215" s="563" t="s">
        <v>965</v>
      </c>
      <c r="C215" s="564" t="s">
        <v>972</v>
      </c>
      <c r="D215" s="565" t="s">
        <v>971</v>
      </c>
      <c r="E215" s="566" t="s">
        <v>26</v>
      </c>
      <c r="F215" s="567">
        <v>1</v>
      </c>
      <c r="G215" s="568">
        <v>32.200000000000003</v>
      </c>
      <c r="H215" s="569">
        <f t="shared" si="415"/>
        <v>32.200000000000003</v>
      </c>
      <c r="I215" s="570"/>
      <c r="J215" s="463">
        <f t="shared" si="407"/>
        <v>1</v>
      </c>
      <c r="K215" s="464">
        <f t="shared" si="408"/>
        <v>32.200000000000003</v>
      </c>
      <c r="L215" s="473"/>
      <c r="M215" s="458"/>
      <c r="N215" s="463">
        <f t="shared" si="409"/>
        <v>1</v>
      </c>
      <c r="O215" s="464">
        <f t="shared" si="410"/>
        <v>32.200000000000003</v>
      </c>
      <c r="P215" s="473"/>
      <c r="Q215" s="458"/>
      <c r="R215" s="463">
        <f t="shared" si="411"/>
        <v>1</v>
      </c>
      <c r="S215" s="464">
        <f t="shared" si="412"/>
        <v>32.200000000000003</v>
      </c>
      <c r="T215" s="473"/>
      <c r="U215" s="458"/>
      <c r="V215" s="463">
        <f t="shared" si="413"/>
        <v>1</v>
      </c>
      <c r="W215" s="464">
        <f t="shared" si="414"/>
        <v>32.200000000000003</v>
      </c>
      <c r="X215" s="459"/>
    </row>
    <row r="216" spans="2:24" ht="15.5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5">
      <c r="B217" s="563" t="s">
        <v>965</v>
      </c>
      <c r="C217" s="564" t="s">
        <v>975</v>
      </c>
      <c r="D217" s="565" t="s">
        <v>975</v>
      </c>
      <c r="E217" s="566" t="s">
        <v>26</v>
      </c>
      <c r="F217" s="567">
        <v>4</v>
      </c>
      <c r="G217" s="568">
        <v>3</v>
      </c>
      <c r="H217" s="569">
        <f t="shared" si="415"/>
        <v>12</v>
      </c>
      <c r="I217" s="570"/>
      <c r="J217" s="463">
        <f t="shared" si="407"/>
        <v>4</v>
      </c>
      <c r="K217" s="464">
        <f t="shared" si="408"/>
        <v>12</v>
      </c>
      <c r="L217" s="473"/>
      <c r="M217" s="458"/>
      <c r="N217" s="463">
        <f t="shared" si="409"/>
        <v>4</v>
      </c>
      <c r="O217" s="464">
        <f t="shared" si="410"/>
        <v>12</v>
      </c>
      <c r="P217" s="473"/>
      <c r="Q217" s="458"/>
      <c r="R217" s="463">
        <f t="shared" si="411"/>
        <v>4</v>
      </c>
      <c r="S217" s="464">
        <f t="shared" si="412"/>
        <v>12</v>
      </c>
      <c r="T217" s="473"/>
      <c r="U217" s="458"/>
      <c r="V217" s="463">
        <f t="shared" si="413"/>
        <v>4</v>
      </c>
      <c r="W217" s="464">
        <f t="shared" si="414"/>
        <v>12</v>
      </c>
      <c r="X217" s="459"/>
    </row>
    <row r="218" spans="2:24" ht="15.5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5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5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5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5">
      <c r="B222" s="563" t="s">
        <v>965</v>
      </c>
      <c r="C222" s="564" t="s">
        <v>983</v>
      </c>
      <c r="D222" s="565" t="s">
        <v>979</v>
      </c>
      <c r="E222" s="566" t="s">
        <v>26</v>
      </c>
      <c r="F222" s="567">
        <v>1</v>
      </c>
      <c r="G222" s="568">
        <v>327.7</v>
      </c>
      <c r="H222" s="569">
        <f t="shared" si="415"/>
        <v>327.7</v>
      </c>
      <c r="I222" s="570"/>
      <c r="J222" s="463">
        <f t="shared" si="407"/>
        <v>1</v>
      </c>
      <c r="K222" s="464">
        <f t="shared" si="408"/>
        <v>327.7</v>
      </c>
      <c r="L222" s="473"/>
      <c r="M222" s="458"/>
      <c r="N222" s="463">
        <f t="shared" si="409"/>
        <v>1</v>
      </c>
      <c r="O222" s="464">
        <f t="shared" si="410"/>
        <v>327.7</v>
      </c>
      <c r="P222" s="473"/>
      <c r="Q222" s="458"/>
      <c r="R222" s="463">
        <f t="shared" si="411"/>
        <v>1</v>
      </c>
      <c r="S222" s="464">
        <f t="shared" si="412"/>
        <v>327.7</v>
      </c>
      <c r="T222" s="473"/>
      <c r="U222" s="458"/>
      <c r="V222" s="463">
        <f t="shared" si="413"/>
        <v>1</v>
      </c>
      <c r="W222" s="464">
        <f t="shared" si="414"/>
        <v>327.7</v>
      </c>
      <c r="X222" s="459"/>
    </row>
    <row r="223" spans="2:24" ht="15.5">
      <c r="B223" s="563" t="s">
        <v>965</v>
      </c>
      <c r="C223" s="564" t="s">
        <v>984</v>
      </c>
      <c r="D223" s="565" t="s">
        <v>985</v>
      </c>
      <c r="E223" s="566" t="s">
        <v>26</v>
      </c>
      <c r="F223" s="567">
        <v>1</v>
      </c>
      <c r="G223" s="568">
        <v>293.3</v>
      </c>
      <c r="H223" s="569">
        <f t="shared" ref="H223:H229" si="425">F223*G223</f>
        <v>293.3</v>
      </c>
      <c r="I223" s="570"/>
      <c r="J223" s="463">
        <f t="shared" ref="J223:J229" si="426">I223+F223</f>
        <v>1</v>
      </c>
      <c r="K223" s="464">
        <f t="shared" ref="K223:K229" si="427">J223*G223</f>
        <v>293.3</v>
      </c>
      <c r="L223" s="473"/>
      <c r="M223" s="458"/>
      <c r="N223" s="463">
        <f t="shared" ref="N223:N229" si="428">M223+J223</f>
        <v>1</v>
      </c>
      <c r="O223" s="464">
        <f t="shared" ref="O223:O229" si="429">N223*G223</f>
        <v>293.3</v>
      </c>
      <c r="P223" s="473"/>
      <c r="Q223" s="458"/>
      <c r="R223" s="463">
        <f t="shared" ref="R223:R229" si="430">Q223+N223</f>
        <v>1</v>
      </c>
      <c r="S223" s="464">
        <f t="shared" ref="S223:S229" si="431">R223*G223</f>
        <v>293.3</v>
      </c>
      <c r="T223" s="473"/>
      <c r="U223" s="458"/>
      <c r="V223" s="463">
        <f t="shared" ref="V223:V229" si="432">U223+R223</f>
        <v>1</v>
      </c>
      <c r="W223" s="464">
        <f t="shared" ref="W223:W229" si="433">V223*G223</f>
        <v>293.3</v>
      </c>
      <c r="X223" s="459"/>
    </row>
    <row r="224" spans="2:24" ht="15.5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5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5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5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5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5">
      <c r="B229" s="563" t="s">
        <v>965</v>
      </c>
      <c r="C229" s="564" t="s">
        <v>995</v>
      </c>
      <c r="D229" s="565" t="s">
        <v>994</v>
      </c>
      <c r="E229" s="566" t="s">
        <v>26</v>
      </c>
      <c r="F229" s="567"/>
      <c r="G229" s="568">
        <v>550</v>
      </c>
      <c r="H229" s="569">
        <f t="shared" si="425"/>
        <v>0</v>
      </c>
      <c r="I229" s="570"/>
      <c r="J229" s="463">
        <f t="shared" si="426"/>
        <v>0</v>
      </c>
      <c r="K229" s="464">
        <f t="shared" si="427"/>
        <v>0</v>
      </c>
      <c r="L229" s="473"/>
      <c r="M229" s="458"/>
      <c r="N229" s="463">
        <f t="shared" si="428"/>
        <v>0</v>
      </c>
      <c r="O229" s="464">
        <f t="shared" si="429"/>
        <v>0</v>
      </c>
      <c r="P229" s="473"/>
      <c r="Q229" s="458"/>
      <c r="R229" s="463">
        <f t="shared" si="430"/>
        <v>0</v>
      </c>
      <c r="S229" s="464">
        <f t="shared" si="431"/>
        <v>0</v>
      </c>
      <c r="T229" s="473"/>
      <c r="U229" s="458"/>
      <c r="V229" s="463">
        <f t="shared" si="432"/>
        <v>0</v>
      </c>
      <c r="W229" s="464">
        <f t="shared" si="433"/>
        <v>0</v>
      </c>
      <c r="X229" s="459"/>
    </row>
    <row r="230" spans="2:24" ht="15.5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5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5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5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5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5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5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5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5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5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5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5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5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5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5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5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5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5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5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5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5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5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5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5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5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5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5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5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5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5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5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5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5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INFO'!F74+'ROUTE INFO'!F75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5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INFO'!C69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5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INFO'!C69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5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INFO'!C69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5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5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INFO'!C69*5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5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INFO'!I75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5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INFO'!I73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5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INFO'!I74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5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5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5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5" thickBot="1">
      <c r="B275" s="151"/>
      <c r="C275" s="162"/>
      <c r="D275" s="1130" t="s">
        <v>59</v>
      </c>
      <c r="E275" s="1130"/>
      <c r="F275" s="1130"/>
      <c r="G275" s="1130"/>
      <c r="H275" s="462">
        <f>SUM(H9:H274)</f>
        <v>9994.9400000000023</v>
      </c>
      <c r="J275" s="195" t="s">
        <v>59</v>
      </c>
      <c r="K275" s="462">
        <f>SUM(K9:K274)</f>
        <v>9994.9400000000023</v>
      </c>
      <c r="L275" s="460"/>
      <c r="M275" s="195"/>
      <c r="N275" s="195" t="s">
        <v>59</v>
      </c>
      <c r="O275" s="462">
        <f>SUM(O9:O274)</f>
        <v>9994.9400000000023</v>
      </c>
      <c r="P275" s="460"/>
      <c r="Q275" s="195"/>
      <c r="R275" s="195" t="s">
        <v>59</v>
      </c>
      <c r="S275" s="462">
        <f>SUM(S9:S274)</f>
        <v>9994.9400000000023</v>
      </c>
      <c r="T275" s="460"/>
      <c r="U275" s="195"/>
      <c r="V275" s="195" t="s">
        <v>59</v>
      </c>
      <c r="W275" s="462">
        <f>SUM(W9:W274)</f>
        <v>9994.9400000000023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5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  <mergeCell ref="D275:G275"/>
    <mergeCell ref="B7:H7"/>
    <mergeCell ref="I7:L7"/>
    <mergeCell ref="M7:P7"/>
    <mergeCell ref="Q7:T7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08984375" defaultRowHeight="14.5"/>
  <cols>
    <col min="1" max="1" width="3" style="30" customWidth="1"/>
    <col min="2" max="2" width="20" style="30" customWidth="1"/>
    <col min="3" max="3" width="39.6328125" style="30" customWidth="1"/>
    <col min="4" max="4" width="14.90625" style="31" bestFit="1" customWidth="1"/>
    <col min="5" max="5" width="32.36328125" style="32" bestFit="1" customWidth="1"/>
    <col min="6" max="7" width="9.08984375" style="30"/>
    <col min="8" max="8" width="30.54296875" style="30" customWidth="1"/>
    <col min="9" max="9" width="9.08984375" style="30" customWidth="1"/>
    <col min="10" max="10" width="15.453125" style="30" customWidth="1"/>
    <col min="11" max="11" width="11.36328125" style="30" bestFit="1" customWidth="1"/>
    <col min="12" max="12" width="11.90625" style="30" customWidth="1"/>
    <col min="13" max="16384" width="9.08984375" style="30"/>
  </cols>
  <sheetData>
    <row r="2" spans="2:13">
      <c r="B2" s="1152" t="s">
        <v>149</v>
      </c>
      <c r="C2" s="1152"/>
      <c r="D2" s="1152"/>
      <c r="E2" s="1152"/>
      <c r="H2" s="33" t="s">
        <v>150</v>
      </c>
      <c r="J2" s="1153" t="s">
        <v>151</v>
      </c>
      <c r="K2" s="1153"/>
      <c r="L2" s="1153"/>
      <c r="M2" s="1153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4"/>
      <c r="K3" s="1154"/>
      <c r="L3" s="1154"/>
      <c r="M3" s="1154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5" t="s">
        <v>158</v>
      </c>
      <c r="I5" s="1155"/>
      <c r="J5" s="1155"/>
      <c r="K5" s="1155"/>
      <c r="L5" s="1155"/>
      <c r="M5" s="1155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INFO'!F82</f>
        <v>0</v>
      </c>
      <c r="J7" s="45">
        <f>'ROUTE INFO'!F83</f>
        <v>0</v>
      </c>
      <c r="K7" s="45">
        <f>'ROUTE INFO'!F84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5" t="s">
        <v>184</v>
      </c>
      <c r="I17" s="1155"/>
      <c r="J17" s="1155"/>
      <c r="K17" s="1155"/>
      <c r="L17" s="1155"/>
      <c r="M17" s="1155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INFO'!F85</f>
        <v>0</v>
      </c>
      <c r="J19" s="45">
        <f>'ROUTE INFO'!F86</f>
        <v>0</v>
      </c>
      <c r="K19" s="45">
        <f>'ROUTE INFO'!F87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6" t="s">
        <v>363</v>
      </c>
      <c r="C30" s="1156"/>
      <c r="D30" s="1156"/>
      <c r="E30" s="1156"/>
    </row>
    <row r="31" spans="2:13">
      <c r="B31" s="1151" t="s">
        <v>158</v>
      </c>
      <c r="C31" s="1151"/>
      <c r="D31" s="1151"/>
      <c r="E31" s="1151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43.5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9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1" t="s">
        <v>184</v>
      </c>
      <c r="C39" s="1151"/>
      <c r="D39" s="1151"/>
      <c r="E39" s="1151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43.5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9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5"/>
  <cols>
    <col min="1" max="3" width="9.6328125" customWidth="1"/>
    <col min="4" max="4" width="10.6328125" customWidth="1"/>
    <col min="5" max="5" width="12.81640625" customWidth="1"/>
    <col min="7" max="7" width="38.6328125" style="398" bestFit="1" customWidth="1"/>
    <col min="8" max="8" width="9" style="399" customWidth="1"/>
    <col min="9" max="9" width="13.36328125" style="398" bestFit="1" customWidth="1"/>
    <col min="10" max="10" width="34.453125" style="398" customWidth="1"/>
  </cols>
  <sheetData>
    <row r="1" spans="1:10" ht="16" thickBot="1">
      <c r="A1" s="1162" t="s">
        <v>683</v>
      </c>
      <c r="B1" s="1163"/>
      <c r="C1" s="1163"/>
      <c r="D1" s="1163"/>
      <c r="E1" s="1164"/>
      <c r="G1" s="1159" t="s">
        <v>668</v>
      </c>
      <c r="H1" s="1160"/>
      <c r="I1" s="1160"/>
      <c r="J1" s="1161"/>
    </row>
    <row r="2" spans="1:10" ht="16" thickBot="1">
      <c r="A2" s="1162" t="s">
        <v>560</v>
      </c>
      <c r="B2" s="1164"/>
      <c r="C2" s="358"/>
      <c r="D2" s="1163" t="s">
        <v>561</v>
      </c>
      <c r="E2" s="1164"/>
      <c r="G2" s="364" t="s">
        <v>669</v>
      </c>
      <c r="H2" s="365">
        <v>-0.2</v>
      </c>
      <c r="I2" s="366" t="s">
        <v>670</v>
      </c>
      <c r="J2" s="367"/>
    </row>
    <row r="3" spans="1:10" ht="29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7" t="s">
        <v>573</v>
      </c>
      <c r="B10" s="1168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69" t="s">
        <v>574</v>
      </c>
      <c r="B11" s="1170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69" t="s">
        <v>575</v>
      </c>
      <c r="B12" s="1170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" thickBot="1">
      <c r="A13" s="1171" t="s">
        <v>684</v>
      </c>
      <c r="B13" s="1172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" thickBot="1">
      <c r="A14" s="1165"/>
      <c r="B14" s="1166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" thickBot="1">
      <c r="A15" s="1157" t="s">
        <v>577</v>
      </c>
      <c r="B15" s="1158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5"/>
  <cols>
    <col min="1" max="1" width="32.08984375" bestFit="1" customWidth="1"/>
    <col min="2" max="2" width="18.90625" bestFit="1" customWidth="1"/>
    <col min="3" max="3" width="9.81640625" customWidth="1"/>
    <col min="4" max="4" width="9.81640625" style="249" customWidth="1"/>
    <col min="5" max="5" width="1.81640625" customWidth="1"/>
    <col min="6" max="12" width="9.81640625" customWidth="1"/>
  </cols>
  <sheetData>
    <row r="1" spans="1:12" ht="29.5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5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5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5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5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3" t="s">
        <v>1159</v>
      </c>
      <c r="B39" s="1174"/>
      <c r="C39" s="1175"/>
      <c r="D39" s="880" t="s">
        <v>1174</v>
      </c>
    </row>
    <row r="40" spans="1:12">
      <c r="A40" s="1179" t="s">
        <v>1173</v>
      </c>
      <c r="B40" s="1180"/>
      <c r="C40" s="1181"/>
      <c r="D40" s="881">
        <f>F36+G36+H36+I36+J36+K36+L36</f>
        <v>0</v>
      </c>
    </row>
    <row r="41" spans="1:12">
      <c r="A41" s="1176" t="s">
        <v>863</v>
      </c>
      <c r="B41" s="1177"/>
      <c r="C41" s="1178"/>
      <c r="D41" s="882">
        <f>F33+G33+H33+I33+J33+K33+L33</f>
        <v>0</v>
      </c>
    </row>
    <row r="42" spans="1:12">
      <c r="A42" s="1176" t="s">
        <v>1015</v>
      </c>
      <c r="B42" s="1177"/>
      <c r="C42" s="1178"/>
      <c r="D42" s="882">
        <f>F32+G32+H32+I32+J32+K32+L32</f>
        <v>0</v>
      </c>
    </row>
    <row r="43" spans="1:12">
      <c r="A43" s="1176" t="s">
        <v>1020</v>
      </c>
      <c r="B43" s="1177"/>
      <c r="C43" s="1178"/>
      <c r="D43" s="882">
        <f>F34+G34+H34+I34+J34+K34+L34</f>
        <v>0</v>
      </c>
    </row>
    <row r="44" spans="1:12">
      <c r="A44" s="1176" t="s">
        <v>1017</v>
      </c>
      <c r="B44" s="1177"/>
      <c r="C44" s="1178"/>
      <c r="D44" s="882">
        <f>F35+G35+H35+I35+J35+K35+L35</f>
        <v>0</v>
      </c>
    </row>
    <row r="45" spans="1:12">
      <c r="A45" s="1176" t="s">
        <v>1163</v>
      </c>
      <c r="B45" s="1177"/>
      <c r="C45" s="1178"/>
      <c r="D45" s="882">
        <f>F3+G3+H3+I3+J3+K3+L3+F11+G11+H11+I11+J11+K11+L11</f>
        <v>0</v>
      </c>
    </row>
    <row r="46" spans="1:12">
      <c r="A46" s="1176" t="s">
        <v>1168</v>
      </c>
      <c r="B46" s="1177"/>
      <c r="C46" s="1178"/>
      <c r="D46" s="882">
        <f>F17+G17+H17+I17+J17+K17+L17+F26+G26+H26+I26+J26+K26+L26</f>
        <v>0</v>
      </c>
    </row>
    <row r="47" spans="1:12">
      <c r="A47" s="1176" t="s">
        <v>1045</v>
      </c>
      <c r="B47" s="1177"/>
      <c r="C47" s="1178"/>
      <c r="D47" s="882">
        <f>H4+I4+J4+K4+L4+H12+I12+J12+K12+L12+H18+I18+J18+K18+L18+H27+I27+J27+K27+L27</f>
        <v>0</v>
      </c>
    </row>
    <row r="48" spans="1:12">
      <c r="A48" s="1176" t="s">
        <v>1024</v>
      </c>
      <c r="B48" s="1177"/>
      <c r="C48" s="1178"/>
      <c r="D48" s="882">
        <f>H5+I5+H19+I19+H28+I28</f>
        <v>0</v>
      </c>
    </row>
    <row r="49" spans="1:4">
      <c r="A49" s="1176" t="s">
        <v>1026</v>
      </c>
      <c r="B49" s="1177"/>
      <c r="C49" s="1178"/>
      <c r="D49" s="882">
        <f>J5+K5+J19+K19+J28+K28</f>
        <v>0</v>
      </c>
    </row>
    <row r="50" spans="1:4">
      <c r="A50" s="1176" t="s">
        <v>1028</v>
      </c>
      <c r="B50" s="1177"/>
      <c r="C50" s="1178"/>
      <c r="D50" s="882">
        <f>L5+L19+L28</f>
        <v>0</v>
      </c>
    </row>
    <row r="51" spans="1:4">
      <c r="A51" s="1176" t="s">
        <v>1029</v>
      </c>
      <c r="B51" s="1177"/>
      <c r="C51" s="1178"/>
      <c r="D51" s="882">
        <f>H13+I13</f>
        <v>0</v>
      </c>
    </row>
    <row r="52" spans="1:4">
      <c r="A52" s="1176" t="s">
        <v>1031</v>
      </c>
      <c r="B52" s="1177"/>
      <c r="C52" s="1178"/>
      <c r="D52" s="882">
        <f>J13</f>
        <v>0</v>
      </c>
    </row>
    <row r="53" spans="1:4">
      <c r="A53" s="1176" t="s">
        <v>1033</v>
      </c>
      <c r="B53" s="1177"/>
      <c r="C53" s="1178"/>
      <c r="D53" s="882">
        <f>K13</f>
        <v>0</v>
      </c>
    </row>
    <row r="54" spans="1:4">
      <c r="A54" s="1176" t="s">
        <v>1047</v>
      </c>
      <c r="B54" s="1177"/>
      <c r="C54" s="1178"/>
      <c r="D54" s="882">
        <f>L13</f>
        <v>0</v>
      </c>
    </row>
    <row r="55" spans="1:4">
      <c r="A55" s="1176" t="s">
        <v>835</v>
      </c>
      <c r="B55" s="1177"/>
      <c r="C55" s="1178"/>
      <c r="D55" s="882">
        <f>H20+I20+J20+K20+L20</f>
        <v>0</v>
      </c>
    </row>
    <row r="56" spans="1:4">
      <c r="A56" s="1176" t="s">
        <v>1170</v>
      </c>
      <c r="B56" s="1177"/>
      <c r="C56" s="1178"/>
      <c r="D56" s="882">
        <f>H6+I6+J6+K6+L6+H21+I21+J21+K21+L21</f>
        <v>0</v>
      </c>
    </row>
    <row r="57" spans="1:4" ht="15" thickBot="1">
      <c r="A57" s="1182" t="s">
        <v>1171</v>
      </c>
      <c r="B57" s="1183"/>
      <c r="C57" s="1184"/>
      <c r="D57" s="883">
        <f>H7+I7+J7+K7+L7+H22+I22+J22+K22+L22</f>
        <v>0</v>
      </c>
    </row>
  </sheetData>
  <mergeCells count="19"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  <mergeCell ref="A39:C39"/>
    <mergeCell ref="A45:C45"/>
    <mergeCell ref="A46:C46"/>
    <mergeCell ref="A47:C47"/>
    <mergeCell ref="A48:C48"/>
    <mergeCell ref="A40:C4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111"/>
  <sheetViews>
    <sheetView topLeftCell="G1" zoomScale="70" zoomScaleNormal="70" workbookViewId="0">
      <selection activeCell="Q77" sqref="Q77"/>
    </sheetView>
  </sheetViews>
  <sheetFormatPr defaultRowHeight="14.5"/>
  <cols>
    <col min="1" max="1" width="33.36328125" style="23" bestFit="1" customWidth="1"/>
    <col min="2" max="2" width="41.1796875" style="23" hidden="1" customWidth="1"/>
    <col min="3" max="3" width="34.90625" style="23" customWidth="1"/>
    <col min="4" max="4" width="28.81640625" style="23" customWidth="1"/>
    <col min="5" max="5" width="40" style="23" bestFit="1" customWidth="1"/>
    <col min="6" max="6" width="23.1796875" style="23" customWidth="1"/>
    <col min="7" max="7" width="18.81640625" style="23" customWidth="1"/>
    <col min="8" max="8" width="30.453125" style="23" bestFit="1" customWidth="1"/>
    <col min="9" max="9" width="23.90625" style="23" customWidth="1"/>
    <col min="10" max="10" width="27.6328125" style="23" bestFit="1" customWidth="1"/>
    <col min="11" max="11" width="17.26953125" style="23" bestFit="1" customWidth="1"/>
    <col min="12" max="12" width="21.08984375" style="23" bestFit="1" customWidth="1"/>
    <col min="13" max="13" width="17.453125" style="23" bestFit="1" customWidth="1"/>
    <col min="14" max="14" width="17.26953125" style="23" bestFit="1" customWidth="1"/>
    <col min="15" max="15" width="17.453125" style="23" bestFit="1" customWidth="1"/>
    <col min="16" max="16" width="19.90625" style="23" customWidth="1"/>
    <col min="17" max="17" width="18.1796875" style="23" customWidth="1"/>
    <col min="18" max="18" width="28.08984375" style="23" bestFit="1" customWidth="1"/>
    <col min="19" max="19" width="23.81640625" style="23" customWidth="1"/>
    <col min="20" max="263" width="9.08984375" style="23"/>
    <col min="264" max="264" width="12.36328125" style="23" bestFit="1" customWidth="1"/>
    <col min="265" max="265" width="16.453125" style="23" bestFit="1" customWidth="1"/>
    <col min="266" max="268" width="18.36328125" style="23" customWidth="1"/>
    <col min="269" max="269" width="14.36328125" style="23" customWidth="1"/>
    <col min="270" max="270" width="31.08984375" style="23" bestFit="1" customWidth="1"/>
    <col min="271" max="272" width="11.54296875" style="23" customWidth="1"/>
    <col min="273" max="273" width="10.6328125" style="23" customWidth="1"/>
    <col min="274" max="519" width="9.08984375" style="23"/>
    <col min="520" max="520" width="12.36328125" style="23" bestFit="1" customWidth="1"/>
    <col min="521" max="521" width="16.453125" style="23" bestFit="1" customWidth="1"/>
    <col min="522" max="524" width="18.36328125" style="23" customWidth="1"/>
    <col min="525" max="525" width="14.36328125" style="23" customWidth="1"/>
    <col min="526" max="526" width="31.08984375" style="23" bestFit="1" customWidth="1"/>
    <col min="527" max="528" width="11.54296875" style="23" customWidth="1"/>
    <col min="529" max="529" width="10.6328125" style="23" customWidth="1"/>
    <col min="530" max="775" width="9.08984375" style="23"/>
    <col min="776" max="776" width="12.36328125" style="23" bestFit="1" customWidth="1"/>
    <col min="777" max="777" width="16.453125" style="23" bestFit="1" customWidth="1"/>
    <col min="778" max="780" width="18.36328125" style="23" customWidth="1"/>
    <col min="781" max="781" width="14.36328125" style="23" customWidth="1"/>
    <col min="782" max="782" width="31.08984375" style="23" bestFit="1" customWidth="1"/>
    <col min="783" max="784" width="11.54296875" style="23" customWidth="1"/>
    <col min="785" max="785" width="10.6328125" style="23" customWidth="1"/>
    <col min="786" max="1031" width="9.08984375" style="23"/>
    <col min="1032" max="1032" width="12.36328125" style="23" bestFit="1" customWidth="1"/>
    <col min="1033" max="1033" width="16.453125" style="23" bestFit="1" customWidth="1"/>
    <col min="1034" max="1036" width="18.36328125" style="23" customWidth="1"/>
    <col min="1037" max="1037" width="14.36328125" style="23" customWidth="1"/>
    <col min="1038" max="1038" width="31.08984375" style="23" bestFit="1" customWidth="1"/>
    <col min="1039" max="1040" width="11.54296875" style="23" customWidth="1"/>
    <col min="1041" max="1041" width="10.6328125" style="23" customWidth="1"/>
    <col min="1042" max="1287" width="9.08984375" style="23"/>
    <col min="1288" max="1288" width="12.36328125" style="23" bestFit="1" customWidth="1"/>
    <col min="1289" max="1289" width="16.453125" style="23" bestFit="1" customWidth="1"/>
    <col min="1290" max="1292" width="18.36328125" style="23" customWidth="1"/>
    <col min="1293" max="1293" width="14.36328125" style="23" customWidth="1"/>
    <col min="1294" max="1294" width="31.08984375" style="23" bestFit="1" customWidth="1"/>
    <col min="1295" max="1296" width="11.54296875" style="23" customWidth="1"/>
    <col min="1297" max="1297" width="10.6328125" style="23" customWidth="1"/>
    <col min="1298" max="1543" width="9.08984375" style="23"/>
    <col min="1544" max="1544" width="12.36328125" style="23" bestFit="1" customWidth="1"/>
    <col min="1545" max="1545" width="16.453125" style="23" bestFit="1" customWidth="1"/>
    <col min="1546" max="1548" width="18.36328125" style="23" customWidth="1"/>
    <col min="1549" max="1549" width="14.36328125" style="23" customWidth="1"/>
    <col min="1550" max="1550" width="31.08984375" style="23" bestFit="1" customWidth="1"/>
    <col min="1551" max="1552" width="11.54296875" style="23" customWidth="1"/>
    <col min="1553" max="1553" width="10.6328125" style="23" customWidth="1"/>
    <col min="1554" max="1799" width="9.08984375" style="23"/>
    <col min="1800" max="1800" width="12.36328125" style="23" bestFit="1" customWidth="1"/>
    <col min="1801" max="1801" width="16.453125" style="23" bestFit="1" customWidth="1"/>
    <col min="1802" max="1804" width="18.36328125" style="23" customWidth="1"/>
    <col min="1805" max="1805" width="14.36328125" style="23" customWidth="1"/>
    <col min="1806" max="1806" width="31.08984375" style="23" bestFit="1" customWidth="1"/>
    <col min="1807" max="1808" width="11.54296875" style="23" customWidth="1"/>
    <col min="1809" max="1809" width="10.6328125" style="23" customWidth="1"/>
    <col min="1810" max="2055" width="9.08984375" style="23"/>
    <col min="2056" max="2056" width="12.36328125" style="23" bestFit="1" customWidth="1"/>
    <col min="2057" max="2057" width="16.453125" style="23" bestFit="1" customWidth="1"/>
    <col min="2058" max="2060" width="18.36328125" style="23" customWidth="1"/>
    <col min="2061" max="2061" width="14.36328125" style="23" customWidth="1"/>
    <col min="2062" max="2062" width="31.08984375" style="23" bestFit="1" customWidth="1"/>
    <col min="2063" max="2064" width="11.54296875" style="23" customWidth="1"/>
    <col min="2065" max="2065" width="10.6328125" style="23" customWidth="1"/>
    <col min="2066" max="2311" width="9.08984375" style="23"/>
    <col min="2312" max="2312" width="12.36328125" style="23" bestFit="1" customWidth="1"/>
    <col min="2313" max="2313" width="16.453125" style="23" bestFit="1" customWidth="1"/>
    <col min="2314" max="2316" width="18.36328125" style="23" customWidth="1"/>
    <col min="2317" max="2317" width="14.36328125" style="23" customWidth="1"/>
    <col min="2318" max="2318" width="31.08984375" style="23" bestFit="1" customWidth="1"/>
    <col min="2319" max="2320" width="11.54296875" style="23" customWidth="1"/>
    <col min="2321" max="2321" width="10.6328125" style="23" customWidth="1"/>
    <col min="2322" max="2567" width="9.08984375" style="23"/>
    <col min="2568" max="2568" width="12.36328125" style="23" bestFit="1" customWidth="1"/>
    <col min="2569" max="2569" width="16.453125" style="23" bestFit="1" customWidth="1"/>
    <col min="2570" max="2572" width="18.36328125" style="23" customWidth="1"/>
    <col min="2573" max="2573" width="14.36328125" style="23" customWidth="1"/>
    <col min="2574" max="2574" width="31.08984375" style="23" bestFit="1" customWidth="1"/>
    <col min="2575" max="2576" width="11.54296875" style="23" customWidth="1"/>
    <col min="2577" max="2577" width="10.6328125" style="23" customWidth="1"/>
    <col min="2578" max="2823" width="9.08984375" style="23"/>
    <col min="2824" max="2824" width="12.36328125" style="23" bestFit="1" customWidth="1"/>
    <col min="2825" max="2825" width="16.453125" style="23" bestFit="1" customWidth="1"/>
    <col min="2826" max="2828" width="18.36328125" style="23" customWidth="1"/>
    <col min="2829" max="2829" width="14.36328125" style="23" customWidth="1"/>
    <col min="2830" max="2830" width="31.08984375" style="23" bestFit="1" customWidth="1"/>
    <col min="2831" max="2832" width="11.54296875" style="23" customWidth="1"/>
    <col min="2833" max="2833" width="10.6328125" style="23" customWidth="1"/>
    <col min="2834" max="3079" width="9.08984375" style="23"/>
    <col min="3080" max="3080" width="12.36328125" style="23" bestFit="1" customWidth="1"/>
    <col min="3081" max="3081" width="16.453125" style="23" bestFit="1" customWidth="1"/>
    <col min="3082" max="3084" width="18.36328125" style="23" customWidth="1"/>
    <col min="3085" max="3085" width="14.36328125" style="23" customWidth="1"/>
    <col min="3086" max="3086" width="31.08984375" style="23" bestFit="1" customWidth="1"/>
    <col min="3087" max="3088" width="11.54296875" style="23" customWidth="1"/>
    <col min="3089" max="3089" width="10.6328125" style="23" customWidth="1"/>
    <col min="3090" max="3335" width="9.08984375" style="23"/>
    <col min="3336" max="3336" width="12.36328125" style="23" bestFit="1" customWidth="1"/>
    <col min="3337" max="3337" width="16.453125" style="23" bestFit="1" customWidth="1"/>
    <col min="3338" max="3340" width="18.36328125" style="23" customWidth="1"/>
    <col min="3341" max="3341" width="14.36328125" style="23" customWidth="1"/>
    <col min="3342" max="3342" width="31.08984375" style="23" bestFit="1" customWidth="1"/>
    <col min="3343" max="3344" width="11.54296875" style="23" customWidth="1"/>
    <col min="3345" max="3345" width="10.6328125" style="23" customWidth="1"/>
    <col min="3346" max="3591" width="9.08984375" style="23"/>
    <col min="3592" max="3592" width="12.36328125" style="23" bestFit="1" customWidth="1"/>
    <col min="3593" max="3593" width="16.453125" style="23" bestFit="1" customWidth="1"/>
    <col min="3594" max="3596" width="18.36328125" style="23" customWidth="1"/>
    <col min="3597" max="3597" width="14.36328125" style="23" customWidth="1"/>
    <col min="3598" max="3598" width="31.08984375" style="23" bestFit="1" customWidth="1"/>
    <col min="3599" max="3600" width="11.54296875" style="23" customWidth="1"/>
    <col min="3601" max="3601" width="10.6328125" style="23" customWidth="1"/>
    <col min="3602" max="3847" width="9.08984375" style="23"/>
    <col min="3848" max="3848" width="12.36328125" style="23" bestFit="1" customWidth="1"/>
    <col min="3849" max="3849" width="16.453125" style="23" bestFit="1" customWidth="1"/>
    <col min="3850" max="3852" width="18.36328125" style="23" customWidth="1"/>
    <col min="3853" max="3853" width="14.36328125" style="23" customWidth="1"/>
    <col min="3854" max="3854" width="31.08984375" style="23" bestFit="1" customWidth="1"/>
    <col min="3855" max="3856" width="11.54296875" style="23" customWidth="1"/>
    <col min="3857" max="3857" width="10.6328125" style="23" customWidth="1"/>
    <col min="3858" max="4103" width="9.08984375" style="23"/>
    <col min="4104" max="4104" width="12.36328125" style="23" bestFit="1" customWidth="1"/>
    <col min="4105" max="4105" width="16.453125" style="23" bestFit="1" customWidth="1"/>
    <col min="4106" max="4108" width="18.36328125" style="23" customWidth="1"/>
    <col min="4109" max="4109" width="14.36328125" style="23" customWidth="1"/>
    <col min="4110" max="4110" width="31.08984375" style="23" bestFit="1" customWidth="1"/>
    <col min="4111" max="4112" width="11.54296875" style="23" customWidth="1"/>
    <col min="4113" max="4113" width="10.6328125" style="23" customWidth="1"/>
    <col min="4114" max="4359" width="9.08984375" style="23"/>
    <col min="4360" max="4360" width="12.36328125" style="23" bestFit="1" customWidth="1"/>
    <col min="4361" max="4361" width="16.453125" style="23" bestFit="1" customWidth="1"/>
    <col min="4362" max="4364" width="18.36328125" style="23" customWidth="1"/>
    <col min="4365" max="4365" width="14.36328125" style="23" customWidth="1"/>
    <col min="4366" max="4366" width="31.08984375" style="23" bestFit="1" customWidth="1"/>
    <col min="4367" max="4368" width="11.54296875" style="23" customWidth="1"/>
    <col min="4369" max="4369" width="10.6328125" style="23" customWidth="1"/>
    <col min="4370" max="4615" width="9.08984375" style="23"/>
    <col min="4616" max="4616" width="12.36328125" style="23" bestFit="1" customWidth="1"/>
    <col min="4617" max="4617" width="16.453125" style="23" bestFit="1" customWidth="1"/>
    <col min="4618" max="4620" width="18.36328125" style="23" customWidth="1"/>
    <col min="4621" max="4621" width="14.36328125" style="23" customWidth="1"/>
    <col min="4622" max="4622" width="31.08984375" style="23" bestFit="1" customWidth="1"/>
    <col min="4623" max="4624" width="11.54296875" style="23" customWidth="1"/>
    <col min="4625" max="4625" width="10.6328125" style="23" customWidth="1"/>
    <col min="4626" max="4871" width="9.08984375" style="23"/>
    <col min="4872" max="4872" width="12.36328125" style="23" bestFit="1" customWidth="1"/>
    <col min="4873" max="4873" width="16.453125" style="23" bestFit="1" customWidth="1"/>
    <col min="4874" max="4876" width="18.36328125" style="23" customWidth="1"/>
    <col min="4877" max="4877" width="14.36328125" style="23" customWidth="1"/>
    <col min="4878" max="4878" width="31.08984375" style="23" bestFit="1" customWidth="1"/>
    <col min="4879" max="4880" width="11.54296875" style="23" customWidth="1"/>
    <col min="4881" max="4881" width="10.6328125" style="23" customWidth="1"/>
    <col min="4882" max="5127" width="9.08984375" style="23"/>
    <col min="5128" max="5128" width="12.36328125" style="23" bestFit="1" customWidth="1"/>
    <col min="5129" max="5129" width="16.453125" style="23" bestFit="1" customWidth="1"/>
    <col min="5130" max="5132" width="18.36328125" style="23" customWidth="1"/>
    <col min="5133" max="5133" width="14.36328125" style="23" customWidth="1"/>
    <col min="5134" max="5134" width="31.08984375" style="23" bestFit="1" customWidth="1"/>
    <col min="5135" max="5136" width="11.54296875" style="23" customWidth="1"/>
    <col min="5137" max="5137" width="10.6328125" style="23" customWidth="1"/>
    <col min="5138" max="5383" width="9.08984375" style="23"/>
    <col min="5384" max="5384" width="12.36328125" style="23" bestFit="1" customWidth="1"/>
    <col min="5385" max="5385" width="16.453125" style="23" bestFit="1" customWidth="1"/>
    <col min="5386" max="5388" width="18.36328125" style="23" customWidth="1"/>
    <col min="5389" max="5389" width="14.36328125" style="23" customWidth="1"/>
    <col min="5390" max="5390" width="31.08984375" style="23" bestFit="1" customWidth="1"/>
    <col min="5391" max="5392" width="11.54296875" style="23" customWidth="1"/>
    <col min="5393" max="5393" width="10.6328125" style="23" customWidth="1"/>
    <col min="5394" max="5639" width="9.08984375" style="23"/>
    <col min="5640" max="5640" width="12.36328125" style="23" bestFit="1" customWidth="1"/>
    <col min="5641" max="5641" width="16.453125" style="23" bestFit="1" customWidth="1"/>
    <col min="5642" max="5644" width="18.36328125" style="23" customWidth="1"/>
    <col min="5645" max="5645" width="14.36328125" style="23" customWidth="1"/>
    <col min="5646" max="5646" width="31.08984375" style="23" bestFit="1" customWidth="1"/>
    <col min="5647" max="5648" width="11.54296875" style="23" customWidth="1"/>
    <col min="5649" max="5649" width="10.6328125" style="23" customWidth="1"/>
    <col min="5650" max="5895" width="9.08984375" style="23"/>
    <col min="5896" max="5896" width="12.36328125" style="23" bestFit="1" customWidth="1"/>
    <col min="5897" max="5897" width="16.453125" style="23" bestFit="1" customWidth="1"/>
    <col min="5898" max="5900" width="18.36328125" style="23" customWidth="1"/>
    <col min="5901" max="5901" width="14.36328125" style="23" customWidth="1"/>
    <col min="5902" max="5902" width="31.08984375" style="23" bestFit="1" customWidth="1"/>
    <col min="5903" max="5904" width="11.54296875" style="23" customWidth="1"/>
    <col min="5905" max="5905" width="10.6328125" style="23" customWidth="1"/>
    <col min="5906" max="6151" width="9.08984375" style="23"/>
    <col min="6152" max="6152" width="12.36328125" style="23" bestFit="1" customWidth="1"/>
    <col min="6153" max="6153" width="16.453125" style="23" bestFit="1" customWidth="1"/>
    <col min="6154" max="6156" width="18.36328125" style="23" customWidth="1"/>
    <col min="6157" max="6157" width="14.36328125" style="23" customWidth="1"/>
    <col min="6158" max="6158" width="31.08984375" style="23" bestFit="1" customWidth="1"/>
    <col min="6159" max="6160" width="11.54296875" style="23" customWidth="1"/>
    <col min="6161" max="6161" width="10.6328125" style="23" customWidth="1"/>
    <col min="6162" max="6407" width="9.08984375" style="23"/>
    <col min="6408" max="6408" width="12.36328125" style="23" bestFit="1" customWidth="1"/>
    <col min="6409" max="6409" width="16.453125" style="23" bestFit="1" customWidth="1"/>
    <col min="6410" max="6412" width="18.36328125" style="23" customWidth="1"/>
    <col min="6413" max="6413" width="14.36328125" style="23" customWidth="1"/>
    <col min="6414" max="6414" width="31.08984375" style="23" bestFit="1" customWidth="1"/>
    <col min="6415" max="6416" width="11.54296875" style="23" customWidth="1"/>
    <col min="6417" max="6417" width="10.6328125" style="23" customWidth="1"/>
    <col min="6418" max="6663" width="9.08984375" style="23"/>
    <col min="6664" max="6664" width="12.36328125" style="23" bestFit="1" customWidth="1"/>
    <col min="6665" max="6665" width="16.453125" style="23" bestFit="1" customWidth="1"/>
    <col min="6666" max="6668" width="18.36328125" style="23" customWidth="1"/>
    <col min="6669" max="6669" width="14.36328125" style="23" customWidth="1"/>
    <col min="6670" max="6670" width="31.08984375" style="23" bestFit="1" customWidth="1"/>
    <col min="6671" max="6672" width="11.54296875" style="23" customWidth="1"/>
    <col min="6673" max="6673" width="10.6328125" style="23" customWidth="1"/>
    <col min="6674" max="6919" width="9.08984375" style="23"/>
    <col min="6920" max="6920" width="12.36328125" style="23" bestFit="1" customWidth="1"/>
    <col min="6921" max="6921" width="16.453125" style="23" bestFit="1" customWidth="1"/>
    <col min="6922" max="6924" width="18.36328125" style="23" customWidth="1"/>
    <col min="6925" max="6925" width="14.36328125" style="23" customWidth="1"/>
    <col min="6926" max="6926" width="31.08984375" style="23" bestFit="1" customWidth="1"/>
    <col min="6927" max="6928" width="11.54296875" style="23" customWidth="1"/>
    <col min="6929" max="6929" width="10.6328125" style="23" customWidth="1"/>
    <col min="6930" max="7175" width="9.08984375" style="23"/>
    <col min="7176" max="7176" width="12.36328125" style="23" bestFit="1" customWidth="1"/>
    <col min="7177" max="7177" width="16.453125" style="23" bestFit="1" customWidth="1"/>
    <col min="7178" max="7180" width="18.36328125" style="23" customWidth="1"/>
    <col min="7181" max="7181" width="14.36328125" style="23" customWidth="1"/>
    <col min="7182" max="7182" width="31.08984375" style="23" bestFit="1" customWidth="1"/>
    <col min="7183" max="7184" width="11.54296875" style="23" customWidth="1"/>
    <col min="7185" max="7185" width="10.6328125" style="23" customWidth="1"/>
    <col min="7186" max="7431" width="9.08984375" style="23"/>
    <col min="7432" max="7432" width="12.36328125" style="23" bestFit="1" customWidth="1"/>
    <col min="7433" max="7433" width="16.453125" style="23" bestFit="1" customWidth="1"/>
    <col min="7434" max="7436" width="18.36328125" style="23" customWidth="1"/>
    <col min="7437" max="7437" width="14.36328125" style="23" customWidth="1"/>
    <col min="7438" max="7438" width="31.08984375" style="23" bestFit="1" customWidth="1"/>
    <col min="7439" max="7440" width="11.54296875" style="23" customWidth="1"/>
    <col min="7441" max="7441" width="10.6328125" style="23" customWidth="1"/>
    <col min="7442" max="7687" width="9.08984375" style="23"/>
    <col min="7688" max="7688" width="12.36328125" style="23" bestFit="1" customWidth="1"/>
    <col min="7689" max="7689" width="16.453125" style="23" bestFit="1" customWidth="1"/>
    <col min="7690" max="7692" width="18.36328125" style="23" customWidth="1"/>
    <col min="7693" max="7693" width="14.36328125" style="23" customWidth="1"/>
    <col min="7694" max="7694" width="31.08984375" style="23" bestFit="1" customWidth="1"/>
    <col min="7695" max="7696" width="11.54296875" style="23" customWidth="1"/>
    <col min="7697" max="7697" width="10.6328125" style="23" customWidth="1"/>
    <col min="7698" max="7943" width="9.08984375" style="23"/>
    <col min="7944" max="7944" width="12.36328125" style="23" bestFit="1" customWidth="1"/>
    <col min="7945" max="7945" width="16.453125" style="23" bestFit="1" customWidth="1"/>
    <col min="7946" max="7948" width="18.36328125" style="23" customWidth="1"/>
    <col min="7949" max="7949" width="14.36328125" style="23" customWidth="1"/>
    <col min="7950" max="7950" width="31.08984375" style="23" bestFit="1" customWidth="1"/>
    <col min="7951" max="7952" width="11.54296875" style="23" customWidth="1"/>
    <col min="7953" max="7953" width="10.6328125" style="23" customWidth="1"/>
    <col min="7954" max="8199" width="9.08984375" style="23"/>
    <col min="8200" max="8200" width="12.36328125" style="23" bestFit="1" customWidth="1"/>
    <col min="8201" max="8201" width="16.453125" style="23" bestFit="1" customWidth="1"/>
    <col min="8202" max="8204" width="18.36328125" style="23" customWidth="1"/>
    <col min="8205" max="8205" width="14.36328125" style="23" customWidth="1"/>
    <col min="8206" max="8206" width="31.08984375" style="23" bestFit="1" customWidth="1"/>
    <col min="8207" max="8208" width="11.54296875" style="23" customWidth="1"/>
    <col min="8209" max="8209" width="10.6328125" style="23" customWidth="1"/>
    <col min="8210" max="8455" width="9.08984375" style="23"/>
    <col min="8456" max="8456" width="12.36328125" style="23" bestFit="1" customWidth="1"/>
    <col min="8457" max="8457" width="16.453125" style="23" bestFit="1" customWidth="1"/>
    <col min="8458" max="8460" width="18.36328125" style="23" customWidth="1"/>
    <col min="8461" max="8461" width="14.36328125" style="23" customWidth="1"/>
    <col min="8462" max="8462" width="31.08984375" style="23" bestFit="1" customWidth="1"/>
    <col min="8463" max="8464" width="11.54296875" style="23" customWidth="1"/>
    <col min="8465" max="8465" width="10.6328125" style="23" customWidth="1"/>
    <col min="8466" max="8711" width="9.08984375" style="23"/>
    <col min="8712" max="8712" width="12.36328125" style="23" bestFit="1" customWidth="1"/>
    <col min="8713" max="8713" width="16.453125" style="23" bestFit="1" customWidth="1"/>
    <col min="8714" max="8716" width="18.36328125" style="23" customWidth="1"/>
    <col min="8717" max="8717" width="14.36328125" style="23" customWidth="1"/>
    <col min="8718" max="8718" width="31.08984375" style="23" bestFit="1" customWidth="1"/>
    <col min="8719" max="8720" width="11.54296875" style="23" customWidth="1"/>
    <col min="8721" max="8721" width="10.6328125" style="23" customWidth="1"/>
    <col min="8722" max="8967" width="9.08984375" style="23"/>
    <col min="8968" max="8968" width="12.36328125" style="23" bestFit="1" customWidth="1"/>
    <col min="8969" max="8969" width="16.453125" style="23" bestFit="1" customWidth="1"/>
    <col min="8970" max="8972" width="18.36328125" style="23" customWidth="1"/>
    <col min="8973" max="8973" width="14.36328125" style="23" customWidth="1"/>
    <col min="8974" max="8974" width="31.08984375" style="23" bestFit="1" customWidth="1"/>
    <col min="8975" max="8976" width="11.54296875" style="23" customWidth="1"/>
    <col min="8977" max="8977" width="10.6328125" style="23" customWidth="1"/>
    <col min="8978" max="9223" width="9.08984375" style="23"/>
    <col min="9224" max="9224" width="12.36328125" style="23" bestFit="1" customWidth="1"/>
    <col min="9225" max="9225" width="16.453125" style="23" bestFit="1" customWidth="1"/>
    <col min="9226" max="9228" width="18.36328125" style="23" customWidth="1"/>
    <col min="9229" max="9229" width="14.36328125" style="23" customWidth="1"/>
    <col min="9230" max="9230" width="31.08984375" style="23" bestFit="1" customWidth="1"/>
    <col min="9231" max="9232" width="11.54296875" style="23" customWidth="1"/>
    <col min="9233" max="9233" width="10.6328125" style="23" customWidth="1"/>
    <col min="9234" max="9479" width="9.08984375" style="23"/>
    <col min="9480" max="9480" width="12.36328125" style="23" bestFit="1" customWidth="1"/>
    <col min="9481" max="9481" width="16.453125" style="23" bestFit="1" customWidth="1"/>
    <col min="9482" max="9484" width="18.36328125" style="23" customWidth="1"/>
    <col min="9485" max="9485" width="14.36328125" style="23" customWidth="1"/>
    <col min="9486" max="9486" width="31.08984375" style="23" bestFit="1" customWidth="1"/>
    <col min="9487" max="9488" width="11.54296875" style="23" customWidth="1"/>
    <col min="9489" max="9489" width="10.6328125" style="23" customWidth="1"/>
    <col min="9490" max="9735" width="9.08984375" style="23"/>
    <col min="9736" max="9736" width="12.36328125" style="23" bestFit="1" customWidth="1"/>
    <col min="9737" max="9737" width="16.453125" style="23" bestFit="1" customWidth="1"/>
    <col min="9738" max="9740" width="18.36328125" style="23" customWidth="1"/>
    <col min="9741" max="9741" width="14.36328125" style="23" customWidth="1"/>
    <col min="9742" max="9742" width="31.08984375" style="23" bestFit="1" customWidth="1"/>
    <col min="9743" max="9744" width="11.54296875" style="23" customWidth="1"/>
    <col min="9745" max="9745" width="10.6328125" style="23" customWidth="1"/>
    <col min="9746" max="9991" width="9.08984375" style="23"/>
    <col min="9992" max="9992" width="12.36328125" style="23" bestFit="1" customWidth="1"/>
    <col min="9993" max="9993" width="16.453125" style="23" bestFit="1" customWidth="1"/>
    <col min="9994" max="9996" width="18.36328125" style="23" customWidth="1"/>
    <col min="9997" max="9997" width="14.36328125" style="23" customWidth="1"/>
    <col min="9998" max="9998" width="31.08984375" style="23" bestFit="1" customWidth="1"/>
    <col min="9999" max="10000" width="11.54296875" style="23" customWidth="1"/>
    <col min="10001" max="10001" width="10.6328125" style="23" customWidth="1"/>
    <col min="10002" max="10247" width="9.08984375" style="23"/>
    <col min="10248" max="10248" width="12.36328125" style="23" bestFit="1" customWidth="1"/>
    <col min="10249" max="10249" width="16.453125" style="23" bestFit="1" customWidth="1"/>
    <col min="10250" max="10252" width="18.36328125" style="23" customWidth="1"/>
    <col min="10253" max="10253" width="14.36328125" style="23" customWidth="1"/>
    <col min="10254" max="10254" width="31.08984375" style="23" bestFit="1" customWidth="1"/>
    <col min="10255" max="10256" width="11.54296875" style="23" customWidth="1"/>
    <col min="10257" max="10257" width="10.6328125" style="23" customWidth="1"/>
    <col min="10258" max="10503" width="9.08984375" style="23"/>
    <col min="10504" max="10504" width="12.36328125" style="23" bestFit="1" customWidth="1"/>
    <col min="10505" max="10505" width="16.453125" style="23" bestFit="1" customWidth="1"/>
    <col min="10506" max="10508" width="18.36328125" style="23" customWidth="1"/>
    <col min="10509" max="10509" width="14.36328125" style="23" customWidth="1"/>
    <col min="10510" max="10510" width="31.08984375" style="23" bestFit="1" customWidth="1"/>
    <col min="10511" max="10512" width="11.54296875" style="23" customWidth="1"/>
    <col min="10513" max="10513" width="10.6328125" style="23" customWidth="1"/>
    <col min="10514" max="10759" width="9.08984375" style="23"/>
    <col min="10760" max="10760" width="12.36328125" style="23" bestFit="1" customWidth="1"/>
    <col min="10761" max="10761" width="16.453125" style="23" bestFit="1" customWidth="1"/>
    <col min="10762" max="10764" width="18.36328125" style="23" customWidth="1"/>
    <col min="10765" max="10765" width="14.36328125" style="23" customWidth="1"/>
    <col min="10766" max="10766" width="31.08984375" style="23" bestFit="1" customWidth="1"/>
    <col min="10767" max="10768" width="11.54296875" style="23" customWidth="1"/>
    <col min="10769" max="10769" width="10.6328125" style="23" customWidth="1"/>
    <col min="10770" max="11015" width="9.08984375" style="23"/>
    <col min="11016" max="11016" width="12.36328125" style="23" bestFit="1" customWidth="1"/>
    <col min="11017" max="11017" width="16.453125" style="23" bestFit="1" customWidth="1"/>
    <col min="11018" max="11020" width="18.36328125" style="23" customWidth="1"/>
    <col min="11021" max="11021" width="14.36328125" style="23" customWidth="1"/>
    <col min="11022" max="11022" width="31.08984375" style="23" bestFit="1" customWidth="1"/>
    <col min="11023" max="11024" width="11.54296875" style="23" customWidth="1"/>
    <col min="11025" max="11025" width="10.6328125" style="23" customWidth="1"/>
    <col min="11026" max="11271" width="9.08984375" style="23"/>
    <col min="11272" max="11272" width="12.36328125" style="23" bestFit="1" customWidth="1"/>
    <col min="11273" max="11273" width="16.453125" style="23" bestFit="1" customWidth="1"/>
    <col min="11274" max="11276" width="18.36328125" style="23" customWidth="1"/>
    <col min="11277" max="11277" width="14.36328125" style="23" customWidth="1"/>
    <col min="11278" max="11278" width="31.08984375" style="23" bestFit="1" customWidth="1"/>
    <col min="11279" max="11280" width="11.54296875" style="23" customWidth="1"/>
    <col min="11281" max="11281" width="10.6328125" style="23" customWidth="1"/>
    <col min="11282" max="11527" width="9.08984375" style="23"/>
    <col min="11528" max="11528" width="12.36328125" style="23" bestFit="1" customWidth="1"/>
    <col min="11529" max="11529" width="16.453125" style="23" bestFit="1" customWidth="1"/>
    <col min="11530" max="11532" width="18.36328125" style="23" customWidth="1"/>
    <col min="11533" max="11533" width="14.36328125" style="23" customWidth="1"/>
    <col min="11534" max="11534" width="31.08984375" style="23" bestFit="1" customWidth="1"/>
    <col min="11535" max="11536" width="11.54296875" style="23" customWidth="1"/>
    <col min="11537" max="11537" width="10.6328125" style="23" customWidth="1"/>
    <col min="11538" max="11783" width="9.08984375" style="23"/>
    <col min="11784" max="11784" width="12.36328125" style="23" bestFit="1" customWidth="1"/>
    <col min="11785" max="11785" width="16.453125" style="23" bestFit="1" customWidth="1"/>
    <col min="11786" max="11788" width="18.36328125" style="23" customWidth="1"/>
    <col min="11789" max="11789" width="14.36328125" style="23" customWidth="1"/>
    <col min="11790" max="11790" width="31.08984375" style="23" bestFit="1" customWidth="1"/>
    <col min="11791" max="11792" width="11.54296875" style="23" customWidth="1"/>
    <col min="11793" max="11793" width="10.6328125" style="23" customWidth="1"/>
    <col min="11794" max="12039" width="9.08984375" style="23"/>
    <col min="12040" max="12040" width="12.36328125" style="23" bestFit="1" customWidth="1"/>
    <col min="12041" max="12041" width="16.453125" style="23" bestFit="1" customWidth="1"/>
    <col min="12042" max="12044" width="18.36328125" style="23" customWidth="1"/>
    <col min="12045" max="12045" width="14.36328125" style="23" customWidth="1"/>
    <col min="12046" max="12046" width="31.08984375" style="23" bestFit="1" customWidth="1"/>
    <col min="12047" max="12048" width="11.54296875" style="23" customWidth="1"/>
    <col min="12049" max="12049" width="10.6328125" style="23" customWidth="1"/>
    <col min="12050" max="12295" width="9.08984375" style="23"/>
    <col min="12296" max="12296" width="12.36328125" style="23" bestFit="1" customWidth="1"/>
    <col min="12297" max="12297" width="16.453125" style="23" bestFit="1" customWidth="1"/>
    <col min="12298" max="12300" width="18.36328125" style="23" customWidth="1"/>
    <col min="12301" max="12301" width="14.36328125" style="23" customWidth="1"/>
    <col min="12302" max="12302" width="31.08984375" style="23" bestFit="1" customWidth="1"/>
    <col min="12303" max="12304" width="11.54296875" style="23" customWidth="1"/>
    <col min="12305" max="12305" width="10.6328125" style="23" customWidth="1"/>
    <col min="12306" max="12551" width="9.08984375" style="23"/>
    <col min="12552" max="12552" width="12.36328125" style="23" bestFit="1" customWidth="1"/>
    <col min="12553" max="12553" width="16.453125" style="23" bestFit="1" customWidth="1"/>
    <col min="12554" max="12556" width="18.36328125" style="23" customWidth="1"/>
    <col min="12557" max="12557" width="14.36328125" style="23" customWidth="1"/>
    <col min="12558" max="12558" width="31.08984375" style="23" bestFit="1" customWidth="1"/>
    <col min="12559" max="12560" width="11.54296875" style="23" customWidth="1"/>
    <col min="12561" max="12561" width="10.6328125" style="23" customWidth="1"/>
    <col min="12562" max="12807" width="9.08984375" style="23"/>
    <col min="12808" max="12808" width="12.36328125" style="23" bestFit="1" customWidth="1"/>
    <col min="12809" max="12809" width="16.453125" style="23" bestFit="1" customWidth="1"/>
    <col min="12810" max="12812" width="18.36328125" style="23" customWidth="1"/>
    <col min="12813" max="12813" width="14.36328125" style="23" customWidth="1"/>
    <col min="12814" max="12814" width="31.08984375" style="23" bestFit="1" customWidth="1"/>
    <col min="12815" max="12816" width="11.54296875" style="23" customWidth="1"/>
    <col min="12817" max="12817" width="10.6328125" style="23" customWidth="1"/>
    <col min="12818" max="13063" width="9.08984375" style="23"/>
    <col min="13064" max="13064" width="12.36328125" style="23" bestFit="1" customWidth="1"/>
    <col min="13065" max="13065" width="16.453125" style="23" bestFit="1" customWidth="1"/>
    <col min="13066" max="13068" width="18.36328125" style="23" customWidth="1"/>
    <col min="13069" max="13069" width="14.36328125" style="23" customWidth="1"/>
    <col min="13070" max="13070" width="31.08984375" style="23" bestFit="1" customWidth="1"/>
    <col min="13071" max="13072" width="11.54296875" style="23" customWidth="1"/>
    <col min="13073" max="13073" width="10.6328125" style="23" customWidth="1"/>
    <col min="13074" max="13319" width="9.08984375" style="23"/>
    <col min="13320" max="13320" width="12.36328125" style="23" bestFit="1" customWidth="1"/>
    <col min="13321" max="13321" width="16.453125" style="23" bestFit="1" customWidth="1"/>
    <col min="13322" max="13324" width="18.36328125" style="23" customWidth="1"/>
    <col min="13325" max="13325" width="14.36328125" style="23" customWidth="1"/>
    <col min="13326" max="13326" width="31.08984375" style="23" bestFit="1" customWidth="1"/>
    <col min="13327" max="13328" width="11.54296875" style="23" customWidth="1"/>
    <col min="13329" max="13329" width="10.6328125" style="23" customWidth="1"/>
    <col min="13330" max="13575" width="9.08984375" style="23"/>
    <col min="13576" max="13576" width="12.36328125" style="23" bestFit="1" customWidth="1"/>
    <col min="13577" max="13577" width="16.453125" style="23" bestFit="1" customWidth="1"/>
    <col min="13578" max="13580" width="18.36328125" style="23" customWidth="1"/>
    <col min="13581" max="13581" width="14.36328125" style="23" customWidth="1"/>
    <col min="13582" max="13582" width="31.08984375" style="23" bestFit="1" customWidth="1"/>
    <col min="13583" max="13584" width="11.54296875" style="23" customWidth="1"/>
    <col min="13585" max="13585" width="10.6328125" style="23" customWidth="1"/>
    <col min="13586" max="13831" width="9.08984375" style="23"/>
    <col min="13832" max="13832" width="12.36328125" style="23" bestFit="1" customWidth="1"/>
    <col min="13833" max="13833" width="16.453125" style="23" bestFit="1" customWidth="1"/>
    <col min="13834" max="13836" width="18.36328125" style="23" customWidth="1"/>
    <col min="13837" max="13837" width="14.36328125" style="23" customWidth="1"/>
    <col min="13838" max="13838" width="31.08984375" style="23" bestFit="1" customWidth="1"/>
    <col min="13839" max="13840" width="11.54296875" style="23" customWidth="1"/>
    <col min="13841" max="13841" width="10.6328125" style="23" customWidth="1"/>
    <col min="13842" max="14087" width="9.08984375" style="23"/>
    <col min="14088" max="14088" width="12.36328125" style="23" bestFit="1" customWidth="1"/>
    <col min="14089" max="14089" width="16.453125" style="23" bestFit="1" customWidth="1"/>
    <col min="14090" max="14092" width="18.36328125" style="23" customWidth="1"/>
    <col min="14093" max="14093" width="14.36328125" style="23" customWidth="1"/>
    <col min="14094" max="14094" width="31.08984375" style="23" bestFit="1" customWidth="1"/>
    <col min="14095" max="14096" width="11.54296875" style="23" customWidth="1"/>
    <col min="14097" max="14097" width="10.6328125" style="23" customWidth="1"/>
    <col min="14098" max="14343" width="9.08984375" style="23"/>
    <col min="14344" max="14344" width="12.36328125" style="23" bestFit="1" customWidth="1"/>
    <col min="14345" max="14345" width="16.453125" style="23" bestFit="1" customWidth="1"/>
    <col min="14346" max="14348" width="18.36328125" style="23" customWidth="1"/>
    <col min="14349" max="14349" width="14.36328125" style="23" customWidth="1"/>
    <col min="14350" max="14350" width="31.08984375" style="23" bestFit="1" customWidth="1"/>
    <col min="14351" max="14352" width="11.54296875" style="23" customWidth="1"/>
    <col min="14353" max="14353" width="10.6328125" style="23" customWidth="1"/>
    <col min="14354" max="14599" width="9.08984375" style="23"/>
    <col min="14600" max="14600" width="12.36328125" style="23" bestFit="1" customWidth="1"/>
    <col min="14601" max="14601" width="16.453125" style="23" bestFit="1" customWidth="1"/>
    <col min="14602" max="14604" width="18.36328125" style="23" customWidth="1"/>
    <col min="14605" max="14605" width="14.36328125" style="23" customWidth="1"/>
    <col min="14606" max="14606" width="31.08984375" style="23" bestFit="1" customWidth="1"/>
    <col min="14607" max="14608" width="11.54296875" style="23" customWidth="1"/>
    <col min="14609" max="14609" width="10.6328125" style="23" customWidth="1"/>
    <col min="14610" max="14855" width="9.08984375" style="23"/>
    <col min="14856" max="14856" width="12.36328125" style="23" bestFit="1" customWidth="1"/>
    <col min="14857" max="14857" width="16.453125" style="23" bestFit="1" customWidth="1"/>
    <col min="14858" max="14860" width="18.36328125" style="23" customWidth="1"/>
    <col min="14861" max="14861" width="14.36328125" style="23" customWidth="1"/>
    <col min="14862" max="14862" width="31.08984375" style="23" bestFit="1" customWidth="1"/>
    <col min="14863" max="14864" width="11.54296875" style="23" customWidth="1"/>
    <col min="14865" max="14865" width="10.6328125" style="23" customWidth="1"/>
    <col min="14866" max="15111" width="9.08984375" style="23"/>
    <col min="15112" max="15112" width="12.36328125" style="23" bestFit="1" customWidth="1"/>
    <col min="15113" max="15113" width="16.453125" style="23" bestFit="1" customWidth="1"/>
    <col min="15114" max="15116" width="18.36328125" style="23" customWidth="1"/>
    <col min="15117" max="15117" width="14.36328125" style="23" customWidth="1"/>
    <col min="15118" max="15118" width="31.08984375" style="23" bestFit="1" customWidth="1"/>
    <col min="15119" max="15120" width="11.54296875" style="23" customWidth="1"/>
    <col min="15121" max="15121" width="10.6328125" style="23" customWidth="1"/>
    <col min="15122" max="15367" width="9.08984375" style="23"/>
    <col min="15368" max="15368" width="12.36328125" style="23" bestFit="1" customWidth="1"/>
    <col min="15369" max="15369" width="16.453125" style="23" bestFit="1" customWidth="1"/>
    <col min="15370" max="15372" width="18.36328125" style="23" customWidth="1"/>
    <col min="15373" max="15373" width="14.36328125" style="23" customWidth="1"/>
    <col min="15374" max="15374" width="31.08984375" style="23" bestFit="1" customWidth="1"/>
    <col min="15375" max="15376" width="11.54296875" style="23" customWidth="1"/>
    <col min="15377" max="15377" width="10.6328125" style="23" customWidth="1"/>
    <col min="15378" max="15623" width="9.08984375" style="23"/>
    <col min="15624" max="15624" width="12.36328125" style="23" bestFit="1" customWidth="1"/>
    <col min="15625" max="15625" width="16.453125" style="23" bestFit="1" customWidth="1"/>
    <col min="15626" max="15628" width="18.36328125" style="23" customWidth="1"/>
    <col min="15629" max="15629" width="14.36328125" style="23" customWidth="1"/>
    <col min="15630" max="15630" width="31.08984375" style="23" bestFit="1" customWidth="1"/>
    <col min="15631" max="15632" width="11.54296875" style="23" customWidth="1"/>
    <col min="15633" max="15633" width="10.6328125" style="23" customWidth="1"/>
    <col min="15634" max="15879" width="9.08984375" style="23"/>
    <col min="15880" max="15880" width="12.36328125" style="23" bestFit="1" customWidth="1"/>
    <col min="15881" max="15881" width="16.453125" style="23" bestFit="1" customWidth="1"/>
    <col min="15882" max="15884" width="18.36328125" style="23" customWidth="1"/>
    <col min="15885" max="15885" width="14.36328125" style="23" customWidth="1"/>
    <col min="15886" max="15886" width="31.08984375" style="23" bestFit="1" customWidth="1"/>
    <col min="15887" max="15888" width="11.54296875" style="23" customWidth="1"/>
    <col min="15889" max="15889" width="10.6328125" style="23" customWidth="1"/>
    <col min="15890" max="16135" width="9.08984375" style="23"/>
    <col min="16136" max="16136" width="12.36328125" style="23" bestFit="1" customWidth="1"/>
    <col min="16137" max="16137" width="16.453125" style="23" bestFit="1" customWidth="1"/>
    <col min="16138" max="16140" width="18.36328125" style="23" customWidth="1"/>
    <col min="16141" max="16141" width="14.36328125" style="23" customWidth="1"/>
    <col min="16142" max="16142" width="31.08984375" style="23" bestFit="1" customWidth="1"/>
    <col min="16143" max="16144" width="11.54296875" style="23" customWidth="1"/>
    <col min="16145" max="16145" width="10.6328125" style="23" customWidth="1"/>
    <col min="16146" max="16384" width="9.08984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 t="s">
        <v>1267</v>
      </c>
      <c r="G2" s="1011"/>
      <c r="H2" s="1012"/>
      <c r="I2" s="1013">
        <v>0</v>
      </c>
      <c r="J2" s="1009"/>
      <c r="K2" s="1009"/>
      <c r="L2" s="1009"/>
      <c r="M2" s="1009"/>
      <c r="N2" s="1009" t="s">
        <v>537</v>
      </c>
      <c r="O2" s="1009">
        <v>20</v>
      </c>
      <c r="P2" s="1009"/>
      <c r="Q2" s="1009"/>
      <c r="R2" s="1009"/>
      <c r="S2" s="1009"/>
    </row>
    <row r="3" spans="1:19" s="219" customFormat="1">
      <c r="A3" s="1006" t="str">
        <f t="shared" ref="A3:A49" si="0">IF(C3="",B3,C3)</f>
        <v>n/a</v>
      </c>
      <c r="B3" s="1007" t="str">
        <f t="shared" ref="B3:B49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0" t="s">
        <v>1267</v>
      </c>
      <c r="G3" s="1011"/>
      <c r="H3" s="1012"/>
      <c r="I3" s="1013">
        <v>5</v>
      </c>
      <c r="J3" s="1009"/>
      <c r="K3" s="1009"/>
      <c r="L3" s="1009" t="s">
        <v>781</v>
      </c>
      <c r="M3" s="1009" t="s">
        <v>786</v>
      </c>
      <c r="N3" s="1009" t="s">
        <v>537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0" t="s">
        <v>1267</v>
      </c>
      <c r="G4" s="1011"/>
      <c r="H4" s="1012"/>
      <c r="I4" s="1013">
        <v>4</v>
      </c>
      <c r="J4" s="1009"/>
      <c r="K4" s="1009"/>
      <c r="L4" s="1009" t="s">
        <v>912</v>
      </c>
      <c r="M4" s="1009" t="s">
        <v>786</v>
      </c>
      <c r="N4" s="1009" t="s">
        <v>537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0" t="s">
        <v>1267</v>
      </c>
      <c r="G5" s="1011"/>
      <c r="H5" s="1012"/>
      <c r="I5" s="1013">
        <v>65</v>
      </c>
      <c r="J5" s="1009"/>
      <c r="K5" s="1009"/>
      <c r="L5" s="1009" t="s">
        <v>781</v>
      </c>
      <c r="M5" s="1009" t="s">
        <v>786</v>
      </c>
      <c r="N5" s="1009" t="s">
        <v>537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0" t="s">
        <v>1267</v>
      </c>
      <c r="G6" s="1011"/>
      <c r="H6" s="1012"/>
      <c r="I6" s="1013">
        <v>20</v>
      </c>
      <c r="J6" s="1009"/>
      <c r="K6" s="1009"/>
      <c r="L6" s="1009" t="s">
        <v>777</v>
      </c>
      <c r="M6" s="1009" t="s">
        <v>786</v>
      </c>
      <c r="N6" s="1009" t="s">
        <v>537</v>
      </c>
      <c r="O6" s="1009"/>
      <c r="P6" s="1009"/>
      <c r="Q6" s="1009"/>
      <c r="R6" s="1009"/>
      <c r="S6" s="1009"/>
    </row>
    <row r="7" spans="1:19" s="219" customFormat="1">
      <c r="A7" s="1006" t="str">
        <f t="shared" si="0"/>
        <v>n/a</v>
      </c>
      <c r="B7" s="1007" t="str">
        <f t="shared" si="1"/>
        <v>n/a</v>
      </c>
      <c r="C7" s="1008"/>
      <c r="D7" s="1009"/>
      <c r="E7" s="1009"/>
      <c r="F7" s="1010" t="s">
        <v>1267</v>
      </c>
      <c r="G7" s="1011"/>
      <c r="H7" s="1012"/>
      <c r="I7" s="1013">
        <v>25</v>
      </c>
      <c r="J7" s="1009"/>
      <c r="K7" s="1009" t="s">
        <v>799</v>
      </c>
      <c r="L7" s="1009" t="s">
        <v>771</v>
      </c>
      <c r="M7" s="1009" t="s">
        <v>786</v>
      </c>
      <c r="N7" s="1009" t="s">
        <v>537</v>
      </c>
      <c r="O7" s="1009"/>
      <c r="P7" s="1009"/>
      <c r="Q7" s="1009"/>
      <c r="R7" s="1009"/>
      <c r="S7" s="1009"/>
    </row>
    <row r="8" spans="1:19" s="219" customFormat="1">
      <c r="A8" s="1006" t="str">
        <f t="shared" si="0"/>
        <v>n/a</v>
      </c>
      <c r="B8" s="1007" t="str">
        <f t="shared" si="1"/>
        <v>n/a</v>
      </c>
      <c r="C8" s="1008"/>
      <c r="D8" s="1009"/>
      <c r="E8" s="1009"/>
      <c r="F8" s="1010" t="s">
        <v>1267</v>
      </c>
      <c r="G8" s="1011"/>
      <c r="H8" s="1012"/>
      <c r="I8" s="1013">
        <v>15</v>
      </c>
      <c r="J8" s="1009"/>
      <c r="K8" s="1009" t="s">
        <v>793</v>
      </c>
      <c r="L8" s="1009" t="s">
        <v>771</v>
      </c>
      <c r="M8" s="1009" t="s">
        <v>786</v>
      </c>
      <c r="N8" s="1009" t="s">
        <v>537</v>
      </c>
      <c r="O8" s="1009"/>
      <c r="P8" s="1009"/>
      <c r="Q8" s="1009"/>
      <c r="R8" s="1009"/>
      <c r="S8" s="1009"/>
    </row>
    <row r="9" spans="1:19" s="219" customFormat="1">
      <c r="A9" s="1006" t="str">
        <f t="shared" si="0"/>
        <v>n/a</v>
      </c>
      <c r="B9" s="1007" t="str">
        <f t="shared" si="1"/>
        <v>n/a</v>
      </c>
      <c r="C9" s="1008"/>
      <c r="D9" s="1009"/>
      <c r="E9" s="1009"/>
      <c r="F9" s="1010" t="s">
        <v>1267</v>
      </c>
      <c r="G9" s="1011"/>
      <c r="H9" s="1012"/>
      <c r="I9" s="1013">
        <v>10</v>
      </c>
      <c r="J9" s="1009"/>
      <c r="K9" s="1009" t="s">
        <v>799</v>
      </c>
      <c r="L9" s="1009" t="s">
        <v>771</v>
      </c>
      <c r="M9" s="1009" t="s">
        <v>786</v>
      </c>
      <c r="N9" s="1009" t="s">
        <v>537</v>
      </c>
      <c r="O9" s="1009"/>
      <c r="P9" s="1009"/>
      <c r="Q9" s="1009"/>
      <c r="R9" s="1009"/>
      <c r="S9" s="1009"/>
    </row>
    <row r="10" spans="1:19" s="219" customFormat="1">
      <c r="A10" s="1006" t="str">
        <f t="shared" si="0"/>
        <v>n/a</v>
      </c>
      <c r="B10" s="1007" t="str">
        <f t="shared" si="1"/>
        <v>n/a</v>
      </c>
      <c r="C10" s="1008"/>
      <c r="D10" s="1009"/>
      <c r="E10" s="1009"/>
      <c r="F10" s="1010" t="s">
        <v>1267</v>
      </c>
      <c r="G10" s="1011"/>
      <c r="H10" s="1012"/>
      <c r="I10" s="1013">
        <v>5</v>
      </c>
      <c r="J10" s="1009"/>
      <c r="K10" s="1009" t="s">
        <v>793</v>
      </c>
      <c r="L10" s="1009" t="s">
        <v>771</v>
      </c>
      <c r="M10" s="1009" t="s">
        <v>786</v>
      </c>
      <c r="N10" s="1009" t="s">
        <v>537</v>
      </c>
      <c r="O10" s="1009"/>
      <c r="P10" s="1009"/>
      <c r="Q10" s="1009"/>
      <c r="R10" s="1009"/>
      <c r="S10" s="1009"/>
    </row>
    <row r="11" spans="1:19" s="219" customFormat="1">
      <c r="A11" s="1006" t="str">
        <f t="shared" si="0"/>
        <v>00</v>
      </c>
      <c r="B11" s="1007" t="str">
        <f t="shared" si="1"/>
        <v>00</v>
      </c>
      <c r="C11" s="1008"/>
      <c r="D11" s="1009"/>
      <c r="E11" s="1009" t="s">
        <v>758</v>
      </c>
      <c r="F11" s="1014" t="s">
        <v>1268</v>
      </c>
      <c r="G11" s="1011"/>
      <c r="H11" s="1012"/>
      <c r="I11" s="1013">
        <v>5</v>
      </c>
      <c r="J11" s="1009"/>
      <c r="K11" s="1009"/>
      <c r="L11" s="1009" t="s">
        <v>774</v>
      </c>
      <c r="M11" s="1009" t="s">
        <v>786</v>
      </c>
      <c r="N11" s="1009" t="s">
        <v>537</v>
      </c>
      <c r="O11" s="1009">
        <v>20</v>
      </c>
      <c r="P11" s="1009"/>
      <c r="Q11" s="1009"/>
      <c r="R11" s="1009"/>
      <c r="S11" s="1009"/>
    </row>
    <row r="12" spans="1:19" s="219" customFormat="1">
      <c r="A12" s="1006" t="str">
        <f t="shared" si="0"/>
        <v>n/a</v>
      </c>
      <c r="B12" s="1007" t="str">
        <f t="shared" si="1"/>
        <v>n/a</v>
      </c>
      <c r="C12" s="1008"/>
      <c r="D12" s="1009"/>
      <c r="E12" s="1009"/>
      <c r="F12" s="1014"/>
      <c r="G12" s="1011"/>
      <c r="H12" s="1012"/>
      <c r="I12" s="1013"/>
      <c r="J12" s="1009"/>
      <c r="K12" s="1009"/>
      <c r="L12" s="1009"/>
      <c r="M12" s="1009"/>
      <c r="N12" s="1009"/>
      <c r="O12" s="1009"/>
      <c r="P12" s="1009"/>
      <c r="Q12" s="1009"/>
      <c r="R12" s="1009"/>
      <c r="S12" s="1009"/>
    </row>
    <row r="13" spans="1:19" s="219" customFormat="1" hidden="1">
      <c r="A13" s="1006" t="str">
        <f t="shared" si="0"/>
        <v>n/a</v>
      </c>
      <c r="B13" s="1007" t="str">
        <f t="shared" si="1"/>
        <v>n/a</v>
      </c>
      <c r="C13" s="1008"/>
      <c r="D13" s="1009"/>
      <c r="E13" s="1009"/>
      <c r="F13" s="1014"/>
      <c r="G13" s="1011"/>
      <c r="H13" s="1012"/>
      <c r="I13" s="1013"/>
      <c r="J13" s="1009"/>
      <c r="K13" s="1009"/>
      <c r="L13" s="1009"/>
      <c r="M13" s="1009"/>
      <c r="N13" s="1009"/>
      <c r="O13" s="1009"/>
      <c r="P13" s="1009"/>
      <c r="Q13" s="1009"/>
      <c r="R13" s="1009"/>
      <c r="S13" s="1009"/>
    </row>
    <row r="14" spans="1:19" s="219" customFormat="1" hidden="1">
      <c r="A14" s="1006" t="str">
        <f t="shared" si="0"/>
        <v>n/a</v>
      </c>
      <c r="B14" s="1007" t="str">
        <f t="shared" si="1"/>
        <v>n/a</v>
      </c>
      <c r="C14" s="1008"/>
      <c r="D14" s="1009"/>
      <c r="E14" s="1009"/>
      <c r="F14" s="1014"/>
      <c r="G14" s="1011"/>
      <c r="H14" s="1012"/>
      <c r="I14" s="1013"/>
      <c r="J14" s="1009"/>
      <c r="K14" s="1009"/>
      <c r="L14" s="1009"/>
      <c r="M14" s="1009"/>
      <c r="N14" s="1009"/>
      <c r="O14" s="1009"/>
      <c r="P14" s="1009"/>
      <c r="Q14" s="1009"/>
      <c r="R14" s="1009"/>
      <c r="S14" s="1009"/>
    </row>
    <row r="15" spans="1:19" s="219" customFormat="1" hidden="1">
      <c r="A15" s="1006" t="str">
        <f t="shared" si="0"/>
        <v>n/a</v>
      </c>
      <c r="B15" s="1007" t="str">
        <f t="shared" si="1"/>
        <v>n/a</v>
      </c>
      <c r="C15" s="1008"/>
      <c r="D15" s="1009"/>
      <c r="E15" s="1009"/>
      <c r="F15" s="1014"/>
      <c r="G15" s="1011"/>
      <c r="H15" s="1012"/>
      <c r="I15" s="1013"/>
      <c r="J15" s="1009"/>
      <c r="K15" s="1009"/>
      <c r="L15" s="1009"/>
      <c r="M15" s="1009"/>
      <c r="N15" s="1009"/>
      <c r="O15" s="1009"/>
      <c r="P15" s="1009"/>
      <c r="Q15" s="1009"/>
      <c r="R15" s="1009"/>
      <c r="S15" s="1009"/>
    </row>
    <row r="16" spans="1:19" s="219" customFormat="1" hidden="1">
      <c r="A16" s="1006" t="str">
        <f t="shared" si="0"/>
        <v>n/a</v>
      </c>
      <c r="B16" s="1007" t="str">
        <f t="shared" si="1"/>
        <v>n/a</v>
      </c>
      <c r="C16" s="1008"/>
      <c r="D16" s="1009"/>
      <c r="E16" s="1009"/>
      <c r="F16" s="1014"/>
      <c r="G16" s="1011"/>
      <c r="H16" s="1012"/>
      <c r="I16" s="1013"/>
      <c r="J16" s="1009"/>
      <c r="K16" s="1009"/>
      <c r="L16" s="1009"/>
      <c r="M16" s="1009"/>
      <c r="N16" s="1009"/>
      <c r="O16" s="1009"/>
      <c r="P16" s="1009"/>
      <c r="Q16" s="1009"/>
      <c r="R16" s="1009"/>
      <c r="S16" s="1009"/>
    </row>
    <row r="17" spans="1:19" s="219" customFormat="1" hidden="1">
      <c r="A17" s="1006" t="str">
        <f t="shared" si="0"/>
        <v>n/a</v>
      </c>
      <c r="B17" s="1007" t="str">
        <f t="shared" si="1"/>
        <v>n/a</v>
      </c>
      <c r="C17" s="1008"/>
      <c r="D17" s="1009"/>
      <c r="E17" s="1009"/>
      <c r="F17" s="1014"/>
      <c r="G17" s="1011"/>
      <c r="H17" s="1012"/>
      <c r="I17" s="1013"/>
      <c r="J17" s="1009"/>
      <c r="K17" s="1009"/>
      <c r="L17" s="1009"/>
      <c r="M17" s="1009"/>
      <c r="N17" s="1009"/>
      <c r="O17" s="1009"/>
      <c r="P17" s="1009"/>
      <c r="Q17" s="1009"/>
      <c r="R17" s="1009"/>
      <c r="S17" s="1009"/>
    </row>
    <row r="18" spans="1:19" s="219" customFormat="1" hidden="1">
      <c r="A18" s="1006" t="str">
        <f t="shared" si="0"/>
        <v>n/a</v>
      </c>
      <c r="B18" s="1007" t="str">
        <f t="shared" si="1"/>
        <v>n/a</v>
      </c>
      <c r="C18" s="1008"/>
      <c r="D18" s="1009"/>
      <c r="E18" s="1009"/>
      <c r="F18" s="1014"/>
      <c r="G18" s="1011"/>
      <c r="H18" s="1012"/>
      <c r="I18" s="1013"/>
      <c r="J18" s="1009"/>
      <c r="K18" s="1009"/>
      <c r="L18" s="1009"/>
      <c r="M18" s="1009"/>
      <c r="N18" s="1009"/>
      <c r="O18" s="1009"/>
      <c r="P18" s="1009"/>
      <c r="Q18" s="1009"/>
      <c r="R18" s="1009"/>
      <c r="S18" s="1009"/>
    </row>
    <row r="19" spans="1:19" s="219" customFormat="1" hidden="1">
      <c r="A19" s="1006" t="str">
        <f t="shared" si="0"/>
        <v>n/a</v>
      </c>
      <c r="B19" s="1007" t="str">
        <f t="shared" si="1"/>
        <v>n/a</v>
      </c>
      <c r="C19" s="1008"/>
      <c r="D19" s="1009"/>
      <c r="E19" s="1009"/>
      <c r="F19" s="1014"/>
      <c r="G19" s="1011"/>
      <c r="H19" s="1012"/>
      <c r="I19" s="1013"/>
      <c r="J19" s="1009"/>
      <c r="K19" s="1009"/>
      <c r="L19" s="1009"/>
      <c r="M19" s="1009"/>
      <c r="N19" s="1009"/>
      <c r="O19" s="1009"/>
      <c r="P19" s="1009"/>
      <c r="Q19" s="1009"/>
      <c r="R19" s="1009"/>
      <c r="S19" s="1009"/>
    </row>
    <row r="20" spans="1:19" s="219" customFormat="1" hidden="1">
      <c r="A20" s="1006" t="str">
        <f t="shared" si="0"/>
        <v>n/a</v>
      </c>
      <c r="B20" s="1007" t="str">
        <f t="shared" si="1"/>
        <v>n/a</v>
      </c>
      <c r="C20" s="1008"/>
      <c r="D20" s="1009"/>
      <c r="E20" s="1009"/>
      <c r="F20" s="1014"/>
      <c r="G20" s="1011"/>
      <c r="H20" s="1012"/>
      <c r="I20" s="1013"/>
      <c r="J20" s="1009"/>
      <c r="K20" s="1009"/>
      <c r="L20" s="1009"/>
      <c r="M20" s="1009"/>
      <c r="N20" s="1009"/>
      <c r="O20" s="1009"/>
      <c r="P20" s="1009"/>
      <c r="Q20" s="1009"/>
      <c r="R20" s="1009"/>
      <c r="S20" s="1009"/>
    </row>
    <row r="21" spans="1:19" s="219" customFormat="1" hidden="1">
      <c r="A21" s="1006" t="str">
        <f t="shared" si="0"/>
        <v>n/a</v>
      </c>
      <c r="B21" s="1007" t="str">
        <f t="shared" si="1"/>
        <v>n/a</v>
      </c>
      <c r="C21" s="1008"/>
      <c r="D21" s="1009"/>
      <c r="E21" s="1009"/>
      <c r="F21" s="1014"/>
      <c r="G21" s="1011"/>
      <c r="H21" s="1012"/>
      <c r="I21" s="1013"/>
      <c r="J21" s="1009"/>
      <c r="K21" s="1009"/>
      <c r="L21" s="1009"/>
      <c r="M21" s="1009"/>
      <c r="N21" s="1009"/>
      <c r="O21" s="1009"/>
      <c r="P21" s="1009"/>
      <c r="Q21" s="1009"/>
      <c r="R21" s="1009"/>
      <c r="S21" s="1009"/>
    </row>
    <row r="22" spans="1:19" s="219" customFormat="1" hidden="1">
      <c r="A22" s="1006" t="str">
        <f t="shared" si="0"/>
        <v>n/a</v>
      </c>
      <c r="B22" s="1007" t="str">
        <f t="shared" si="1"/>
        <v>n/a</v>
      </c>
      <c r="C22" s="1008"/>
      <c r="D22" s="1009"/>
      <c r="E22" s="1009"/>
      <c r="F22" s="1014"/>
      <c r="G22" s="1011"/>
      <c r="H22" s="1012"/>
      <c r="I22" s="1013"/>
      <c r="J22" s="1009"/>
      <c r="K22" s="1009"/>
      <c r="L22" s="1009"/>
      <c r="M22" s="1009"/>
      <c r="N22" s="1009"/>
      <c r="O22" s="1009"/>
      <c r="P22" s="1009"/>
      <c r="Q22" s="1009"/>
      <c r="R22" s="1009"/>
      <c r="S22" s="1009"/>
    </row>
    <row r="23" spans="1:19" s="219" customFormat="1" hidden="1">
      <c r="A23" s="1006" t="str">
        <f t="shared" si="0"/>
        <v>n/a</v>
      </c>
      <c r="B23" s="1007" t="str">
        <f t="shared" si="1"/>
        <v>n/a</v>
      </c>
      <c r="C23" s="1008"/>
      <c r="D23" s="1009"/>
      <c r="E23" s="1009"/>
      <c r="F23" s="1014"/>
      <c r="G23" s="1011"/>
      <c r="H23" s="1012"/>
      <c r="I23" s="1013"/>
      <c r="J23" s="1009"/>
      <c r="K23" s="1009"/>
      <c r="L23" s="1009"/>
      <c r="M23" s="1009"/>
      <c r="N23" s="1009"/>
      <c r="O23" s="1009"/>
      <c r="P23" s="1009"/>
      <c r="Q23" s="1009"/>
      <c r="R23" s="1009"/>
      <c r="S23" s="1009"/>
    </row>
    <row r="24" spans="1:19" s="219" customFormat="1" hidden="1">
      <c r="A24" s="1006" t="str">
        <f t="shared" si="0"/>
        <v>n/a</v>
      </c>
      <c r="B24" s="1007" t="str">
        <f t="shared" si="1"/>
        <v>n/a</v>
      </c>
      <c r="C24" s="1008"/>
      <c r="D24" s="1009"/>
      <c r="E24" s="1009"/>
      <c r="F24" s="1014"/>
      <c r="G24" s="1011"/>
      <c r="H24" s="1012"/>
      <c r="I24" s="1013"/>
      <c r="J24" s="1009"/>
      <c r="K24" s="1009"/>
      <c r="L24" s="1009"/>
      <c r="M24" s="1009"/>
      <c r="N24" s="1009"/>
      <c r="O24" s="1009"/>
      <c r="P24" s="1009"/>
      <c r="Q24" s="1009"/>
      <c r="R24" s="1009"/>
      <c r="S24" s="1009"/>
    </row>
    <row r="25" spans="1:19" s="219" customFormat="1" hidden="1">
      <c r="A25" s="1006" t="str">
        <f t="shared" si="0"/>
        <v>n/a</v>
      </c>
      <c r="B25" s="1007" t="str">
        <f t="shared" si="1"/>
        <v>n/a</v>
      </c>
      <c r="C25" s="1008"/>
      <c r="D25" s="1009"/>
      <c r="E25" s="1009"/>
      <c r="F25" s="1014"/>
      <c r="G25" s="1011"/>
      <c r="H25" s="1012"/>
      <c r="I25" s="1013"/>
      <c r="J25" s="1009"/>
      <c r="K25" s="1009"/>
      <c r="L25" s="1009"/>
      <c r="M25" s="1009"/>
      <c r="N25" s="1009"/>
      <c r="O25" s="1009"/>
      <c r="P25" s="1009"/>
      <c r="Q25" s="1009"/>
      <c r="R25" s="1009"/>
      <c r="S25" s="1009"/>
    </row>
    <row r="26" spans="1:19" s="219" customFormat="1" hidden="1">
      <c r="A26" s="1006" t="str">
        <f t="shared" si="0"/>
        <v>n/a</v>
      </c>
      <c r="B26" s="1007" t="str">
        <f t="shared" si="1"/>
        <v>n/a</v>
      </c>
      <c r="C26" s="1008"/>
      <c r="D26" s="1009"/>
      <c r="E26" s="1009"/>
      <c r="F26" s="1014"/>
      <c r="G26" s="1011"/>
      <c r="H26" s="1012"/>
      <c r="I26" s="1013"/>
      <c r="J26" s="1009"/>
      <c r="K26" s="1009"/>
      <c r="L26" s="1009"/>
      <c r="M26" s="1009"/>
      <c r="N26" s="1009"/>
      <c r="O26" s="1009"/>
      <c r="P26" s="1009"/>
      <c r="Q26" s="1009"/>
      <c r="R26" s="1009"/>
      <c r="S26" s="1009"/>
    </row>
    <row r="27" spans="1:19" s="219" customFormat="1" hidden="1">
      <c r="A27" s="1006" t="str">
        <f t="shared" si="0"/>
        <v>n/a</v>
      </c>
      <c r="B27" s="1007" t="str">
        <f t="shared" si="1"/>
        <v>n/a</v>
      </c>
      <c r="C27" s="1008"/>
      <c r="D27" s="1009"/>
      <c r="E27" s="1009"/>
      <c r="F27" s="1014"/>
      <c r="G27" s="1011"/>
      <c r="H27" s="1012"/>
      <c r="I27" s="1013"/>
      <c r="J27" s="1009"/>
      <c r="K27" s="1009"/>
      <c r="L27" s="1009"/>
      <c r="M27" s="1009"/>
      <c r="N27" s="1009"/>
      <c r="O27" s="1009"/>
      <c r="P27" s="1009"/>
      <c r="Q27" s="1009"/>
      <c r="R27" s="1009"/>
      <c r="S27" s="1009"/>
    </row>
    <row r="28" spans="1:19" s="219" customFormat="1" hidden="1">
      <c r="A28" s="1006" t="str">
        <f t="shared" si="0"/>
        <v>n/a</v>
      </c>
      <c r="B28" s="1007" t="str">
        <f t="shared" si="1"/>
        <v>n/a</v>
      </c>
      <c r="C28" s="1008"/>
      <c r="D28" s="1009"/>
      <c r="E28" s="1009"/>
      <c r="F28" s="1014"/>
      <c r="G28" s="1011"/>
      <c r="H28" s="1012"/>
      <c r="I28" s="1013"/>
      <c r="J28" s="1009"/>
      <c r="K28" s="1009"/>
      <c r="L28" s="1009"/>
      <c r="M28" s="1009"/>
      <c r="N28" s="1009"/>
      <c r="O28" s="1009"/>
      <c r="P28" s="1009"/>
      <c r="Q28" s="1009"/>
      <c r="R28" s="1009"/>
      <c r="S28" s="1009"/>
    </row>
    <row r="29" spans="1:19" s="219" customFormat="1" hidden="1">
      <c r="A29" s="1006" t="str">
        <f t="shared" si="0"/>
        <v>n/a</v>
      </c>
      <c r="B29" s="1007" t="str">
        <f t="shared" si="1"/>
        <v>n/a</v>
      </c>
      <c r="C29" s="1008"/>
      <c r="D29" s="1009"/>
      <c r="E29" s="1009"/>
      <c r="F29" s="1014"/>
      <c r="G29" s="1011"/>
      <c r="H29" s="1012"/>
      <c r="I29" s="1013"/>
      <c r="J29" s="1009"/>
      <c r="K29" s="1009"/>
      <c r="L29" s="1009"/>
      <c r="M29" s="1009"/>
      <c r="N29" s="1009"/>
      <c r="O29" s="1009"/>
      <c r="P29" s="1009"/>
      <c r="Q29" s="1009"/>
      <c r="R29" s="1009"/>
      <c r="S29" s="1009"/>
    </row>
    <row r="30" spans="1:19" s="219" customFormat="1" hidden="1">
      <c r="A30" s="1006" t="str">
        <f t="shared" si="0"/>
        <v>n/a</v>
      </c>
      <c r="B30" s="1007" t="str">
        <f t="shared" si="1"/>
        <v>n/a</v>
      </c>
      <c r="C30" s="1008"/>
      <c r="D30" s="1009"/>
      <c r="E30" s="1009"/>
      <c r="F30" s="1014"/>
      <c r="G30" s="1011"/>
      <c r="H30" s="1012"/>
      <c r="I30" s="1013"/>
      <c r="J30" s="1009"/>
      <c r="K30" s="1009"/>
      <c r="L30" s="1009"/>
      <c r="M30" s="1009"/>
      <c r="N30" s="1009"/>
      <c r="O30" s="1009"/>
      <c r="P30" s="1009"/>
      <c r="Q30" s="1009"/>
      <c r="R30" s="1009"/>
      <c r="S30" s="1009"/>
    </row>
    <row r="31" spans="1:19" s="219" customFormat="1" hidden="1">
      <c r="A31" s="1006" t="str">
        <f t="shared" si="0"/>
        <v>n/a</v>
      </c>
      <c r="B31" s="1007" t="str">
        <f t="shared" si="1"/>
        <v>n/a</v>
      </c>
      <c r="C31" s="1008"/>
      <c r="D31" s="1009"/>
      <c r="E31" s="1009"/>
      <c r="F31" s="1014"/>
      <c r="G31" s="1011"/>
      <c r="H31" s="1012"/>
      <c r="I31" s="1013"/>
      <c r="J31" s="1009"/>
      <c r="K31" s="1009"/>
      <c r="L31" s="1009"/>
      <c r="M31" s="1009"/>
      <c r="N31" s="1009"/>
      <c r="O31" s="1009"/>
      <c r="P31" s="1009"/>
      <c r="Q31" s="1009"/>
      <c r="R31" s="1009"/>
      <c r="S31" s="1009"/>
    </row>
    <row r="32" spans="1:19" s="219" customFormat="1" hidden="1">
      <c r="A32" s="1006" t="str">
        <f t="shared" si="0"/>
        <v>n/a</v>
      </c>
      <c r="B32" s="1007" t="str">
        <f t="shared" si="1"/>
        <v>n/a</v>
      </c>
      <c r="C32" s="1008"/>
      <c r="D32" s="1009"/>
      <c r="E32" s="1009"/>
      <c r="F32" s="1014"/>
      <c r="G32" s="1011"/>
      <c r="H32" s="1012"/>
      <c r="I32" s="1013"/>
      <c r="J32" s="1009"/>
      <c r="K32" s="1009"/>
      <c r="L32" s="1009"/>
      <c r="M32" s="1009"/>
      <c r="N32" s="1009"/>
      <c r="O32" s="1009"/>
      <c r="P32" s="1009"/>
      <c r="Q32" s="1009"/>
      <c r="R32" s="1009"/>
      <c r="S32" s="1009"/>
    </row>
    <row r="33" spans="1:19" s="219" customFormat="1" hidden="1">
      <c r="A33" s="1006" t="str">
        <f t="shared" si="0"/>
        <v>n/a</v>
      </c>
      <c r="B33" s="1007" t="str">
        <f t="shared" si="1"/>
        <v>n/a</v>
      </c>
      <c r="C33" s="1008"/>
      <c r="D33" s="1009"/>
      <c r="E33" s="1009"/>
      <c r="F33" s="1014"/>
      <c r="G33" s="1011"/>
      <c r="H33" s="1012"/>
      <c r="I33" s="1013"/>
      <c r="J33" s="1009"/>
      <c r="K33" s="1009"/>
      <c r="L33" s="1009"/>
      <c r="M33" s="1009"/>
      <c r="N33" s="1009"/>
      <c r="O33" s="1009"/>
      <c r="P33" s="1009"/>
      <c r="Q33" s="1009"/>
      <c r="R33" s="1009"/>
      <c r="S33" s="1009"/>
    </row>
    <row r="34" spans="1:19" s="219" customFormat="1" hidden="1">
      <c r="A34" s="1006" t="str">
        <f t="shared" si="0"/>
        <v>n/a</v>
      </c>
      <c r="B34" s="1007" t="str">
        <f t="shared" si="1"/>
        <v>n/a</v>
      </c>
      <c r="C34" s="1008"/>
      <c r="D34" s="1009"/>
      <c r="E34" s="1009"/>
      <c r="F34" s="1014"/>
      <c r="G34" s="1011"/>
      <c r="H34" s="1012"/>
      <c r="I34" s="1013"/>
      <c r="J34" s="1009"/>
      <c r="K34" s="1009"/>
      <c r="L34" s="1009"/>
      <c r="M34" s="1009"/>
      <c r="N34" s="1009"/>
      <c r="O34" s="1009"/>
      <c r="P34" s="1009"/>
      <c r="Q34" s="1009"/>
      <c r="R34" s="1009"/>
      <c r="S34" s="1009"/>
    </row>
    <row r="35" spans="1:19" s="219" customFormat="1" hidden="1">
      <c r="A35" s="1006" t="str">
        <f t="shared" si="0"/>
        <v>n/a</v>
      </c>
      <c r="B35" s="1007" t="str">
        <f t="shared" si="1"/>
        <v>n/a</v>
      </c>
      <c r="C35" s="1008"/>
      <c r="D35" s="1009"/>
      <c r="E35" s="1009"/>
      <c r="F35" s="1014"/>
      <c r="G35" s="1011"/>
      <c r="H35" s="1012"/>
      <c r="I35" s="1013"/>
      <c r="J35" s="1009"/>
      <c r="K35" s="1009"/>
      <c r="L35" s="1009"/>
      <c r="M35" s="1009"/>
      <c r="N35" s="1009"/>
      <c r="O35" s="1009"/>
      <c r="P35" s="1009"/>
      <c r="Q35" s="1009"/>
      <c r="R35" s="1009"/>
      <c r="S35" s="1009"/>
    </row>
    <row r="36" spans="1:19" s="219" customFormat="1" hidden="1">
      <c r="A36" s="1006" t="str">
        <f t="shared" si="0"/>
        <v>n/a</v>
      </c>
      <c r="B36" s="1007" t="str">
        <f t="shared" si="1"/>
        <v>n/a</v>
      </c>
      <c r="C36" s="1008"/>
      <c r="D36" s="1009"/>
      <c r="E36" s="1009"/>
      <c r="F36" s="1014"/>
      <c r="G36" s="1011"/>
      <c r="H36" s="1012"/>
      <c r="I36" s="1013"/>
      <c r="J36" s="1009"/>
      <c r="K36" s="1009"/>
      <c r="L36" s="1009"/>
      <c r="M36" s="1009"/>
      <c r="N36" s="1009"/>
      <c r="O36" s="1009"/>
      <c r="P36" s="1009"/>
      <c r="Q36" s="1009"/>
      <c r="R36" s="1009"/>
      <c r="S36" s="1009"/>
    </row>
    <row r="37" spans="1:19" s="219" customFormat="1" hidden="1">
      <c r="A37" s="1006" t="str">
        <f t="shared" si="0"/>
        <v>n/a</v>
      </c>
      <c r="B37" s="1007" t="str">
        <f t="shared" si="1"/>
        <v>n/a</v>
      </c>
      <c r="C37" s="1008"/>
      <c r="D37" s="1009"/>
      <c r="E37" s="1009"/>
      <c r="F37" s="1014"/>
      <c r="G37" s="1011"/>
      <c r="H37" s="1012"/>
      <c r="I37" s="1013"/>
      <c r="J37" s="1009"/>
      <c r="K37" s="1009"/>
      <c r="L37" s="1009"/>
      <c r="M37" s="1009"/>
      <c r="N37" s="1009"/>
      <c r="O37" s="1009"/>
      <c r="P37" s="1009"/>
      <c r="Q37" s="1009"/>
      <c r="R37" s="1009"/>
      <c r="S37" s="1009"/>
    </row>
    <row r="38" spans="1:19" s="219" customFormat="1" hidden="1">
      <c r="A38" s="1006" t="str">
        <f t="shared" si="0"/>
        <v>n/a</v>
      </c>
      <c r="B38" s="1007" t="str">
        <f t="shared" si="1"/>
        <v>n/a</v>
      </c>
      <c r="C38" s="1008"/>
      <c r="D38" s="1009"/>
      <c r="E38" s="1009"/>
      <c r="F38" s="1014"/>
      <c r="G38" s="1011"/>
      <c r="H38" s="1012"/>
      <c r="I38" s="1013"/>
      <c r="J38" s="1009"/>
      <c r="K38" s="1009"/>
      <c r="L38" s="1009"/>
      <c r="M38" s="1009"/>
      <c r="N38" s="1009"/>
      <c r="O38" s="1009"/>
      <c r="P38" s="1009"/>
      <c r="Q38" s="1009"/>
      <c r="R38" s="1009"/>
      <c r="S38" s="1009"/>
    </row>
    <row r="39" spans="1:19" s="219" customFormat="1" hidden="1">
      <c r="A39" s="1006" t="str">
        <f t="shared" si="0"/>
        <v>n/a</v>
      </c>
      <c r="B39" s="1007" t="str">
        <f t="shared" si="1"/>
        <v>n/a</v>
      </c>
      <c r="C39" s="1008"/>
      <c r="D39" s="1009"/>
      <c r="E39" s="1009"/>
      <c r="F39" s="1014"/>
      <c r="G39" s="1011"/>
      <c r="H39" s="1012"/>
      <c r="I39" s="1013"/>
      <c r="J39" s="1009"/>
      <c r="K39" s="1009"/>
      <c r="L39" s="1009"/>
      <c r="M39" s="1009"/>
      <c r="N39" s="1009"/>
      <c r="O39" s="1009"/>
      <c r="P39" s="1009"/>
      <c r="Q39" s="1009"/>
      <c r="R39" s="1009"/>
      <c r="S39" s="1009"/>
    </row>
    <row r="40" spans="1:19" s="219" customFormat="1" hidden="1">
      <c r="A40" s="1006" t="str">
        <f t="shared" si="0"/>
        <v>n/a</v>
      </c>
      <c r="B40" s="1007" t="str">
        <f t="shared" si="1"/>
        <v>n/a</v>
      </c>
      <c r="C40" s="1008"/>
      <c r="D40" s="1009"/>
      <c r="E40" s="1009"/>
      <c r="F40" s="1014"/>
      <c r="G40" s="1011"/>
      <c r="H40" s="1012"/>
      <c r="I40" s="1013"/>
      <c r="J40" s="1009"/>
      <c r="K40" s="1009"/>
      <c r="L40" s="1009"/>
      <c r="M40" s="1009"/>
      <c r="N40" s="1009"/>
      <c r="O40" s="1009"/>
      <c r="P40" s="1009"/>
      <c r="Q40" s="1009"/>
      <c r="R40" s="1009"/>
      <c r="S40" s="1009"/>
    </row>
    <row r="41" spans="1:19" s="219" customFormat="1" hidden="1">
      <c r="A41" s="1006" t="str">
        <f t="shared" si="0"/>
        <v>n/a</v>
      </c>
      <c r="B41" s="1007" t="str">
        <f t="shared" si="1"/>
        <v>n/a</v>
      </c>
      <c r="C41" s="1008"/>
      <c r="D41" s="1009"/>
      <c r="E41" s="1009"/>
      <c r="F41" s="1014"/>
      <c r="G41" s="1011"/>
      <c r="H41" s="1012"/>
      <c r="I41" s="1013"/>
      <c r="J41" s="1009"/>
      <c r="K41" s="1009"/>
      <c r="L41" s="1009"/>
      <c r="M41" s="1009"/>
      <c r="N41" s="1009"/>
      <c r="O41" s="1009"/>
      <c r="P41" s="1009"/>
      <c r="Q41" s="1009"/>
      <c r="R41" s="1009"/>
      <c r="S41" s="1009"/>
    </row>
    <row r="42" spans="1:19" s="219" customFormat="1" hidden="1">
      <c r="A42" s="1006" t="str">
        <f t="shared" si="0"/>
        <v>n/a</v>
      </c>
      <c r="B42" s="1007" t="str">
        <f t="shared" si="1"/>
        <v>n/a</v>
      </c>
      <c r="C42" s="1008"/>
      <c r="D42" s="1009"/>
      <c r="E42" s="1009"/>
      <c r="F42" s="1014"/>
      <c r="G42" s="1011"/>
      <c r="H42" s="1012"/>
      <c r="I42" s="1013"/>
      <c r="J42" s="1009"/>
      <c r="K42" s="1009"/>
      <c r="L42" s="1009"/>
      <c r="M42" s="1009"/>
      <c r="N42" s="1009"/>
      <c r="O42" s="1009"/>
      <c r="P42" s="1009"/>
      <c r="Q42" s="1009"/>
      <c r="R42" s="1009"/>
      <c r="S42" s="1009"/>
    </row>
    <row r="43" spans="1:19" s="219" customFormat="1" hidden="1">
      <c r="A43" s="1006" t="str">
        <f t="shared" si="0"/>
        <v>n/a</v>
      </c>
      <c r="B43" s="1007" t="str">
        <f t="shared" si="1"/>
        <v>n/a</v>
      </c>
      <c r="C43" s="1008"/>
      <c r="D43" s="1009"/>
      <c r="E43" s="1009"/>
      <c r="F43" s="1014"/>
      <c r="G43" s="1011"/>
      <c r="H43" s="1012"/>
      <c r="I43" s="1013"/>
      <c r="J43" s="1009"/>
      <c r="K43" s="1009"/>
      <c r="L43" s="1009"/>
      <c r="M43" s="1009"/>
      <c r="N43" s="1009"/>
      <c r="O43" s="1009"/>
      <c r="P43" s="1009"/>
      <c r="Q43" s="1009"/>
      <c r="R43" s="1009"/>
      <c r="S43" s="1009"/>
    </row>
    <row r="44" spans="1:19" s="219" customFormat="1" hidden="1">
      <c r="A44" s="1006" t="str">
        <f t="shared" si="0"/>
        <v>n/a</v>
      </c>
      <c r="B44" s="1007" t="str">
        <f t="shared" si="1"/>
        <v>n/a</v>
      </c>
      <c r="C44" s="1008"/>
      <c r="D44" s="1009"/>
      <c r="E44" s="1009"/>
      <c r="F44" s="1014"/>
      <c r="G44" s="1011"/>
      <c r="H44" s="1012"/>
      <c r="I44" s="1013"/>
      <c r="J44" s="1009"/>
      <c r="K44" s="1009"/>
      <c r="L44" s="1009"/>
      <c r="M44" s="1009"/>
      <c r="N44" s="1009"/>
      <c r="O44" s="1009"/>
      <c r="P44" s="1009"/>
      <c r="Q44" s="1009"/>
      <c r="R44" s="1009"/>
      <c r="S44" s="1009"/>
    </row>
    <row r="45" spans="1:19" s="219" customFormat="1" hidden="1">
      <c r="A45" s="1006" t="str">
        <f t="shared" si="0"/>
        <v>n/a</v>
      </c>
      <c r="B45" s="1007" t="str">
        <f t="shared" si="1"/>
        <v>n/a</v>
      </c>
      <c r="C45" s="1008"/>
      <c r="D45" s="1009"/>
      <c r="E45" s="1009"/>
      <c r="F45" s="1014"/>
      <c r="G45" s="1011"/>
      <c r="H45" s="1012"/>
      <c r="I45" s="1013"/>
      <c r="J45" s="1009"/>
      <c r="K45" s="1009"/>
      <c r="L45" s="1009"/>
      <c r="M45" s="1009"/>
      <c r="N45" s="1009"/>
      <c r="O45" s="1009"/>
      <c r="P45" s="1009"/>
      <c r="Q45" s="1009"/>
      <c r="R45" s="1009"/>
      <c r="S45" s="1009"/>
    </row>
    <row r="46" spans="1:19" s="219" customFormat="1" hidden="1">
      <c r="A46" s="1006" t="str">
        <f t="shared" si="0"/>
        <v>n/a</v>
      </c>
      <c r="B46" s="1007" t="str">
        <f t="shared" si="1"/>
        <v>n/a</v>
      </c>
      <c r="C46" s="1008"/>
      <c r="D46" s="1009"/>
      <c r="E46" s="1009"/>
      <c r="F46" s="1014"/>
      <c r="G46" s="1011"/>
      <c r="H46" s="1012"/>
      <c r="I46" s="1013"/>
      <c r="J46" s="1009"/>
      <c r="K46" s="1009"/>
      <c r="L46" s="1009"/>
      <c r="M46" s="1009"/>
      <c r="N46" s="1009"/>
      <c r="O46" s="1009"/>
      <c r="P46" s="1009"/>
      <c r="Q46" s="1009"/>
      <c r="R46" s="1009"/>
      <c r="S46" s="1009"/>
    </row>
    <row r="47" spans="1:19" s="219" customFormat="1" hidden="1">
      <c r="A47" s="1006" t="str">
        <f t="shared" si="0"/>
        <v>n/a</v>
      </c>
      <c r="B47" s="1007" t="str">
        <f t="shared" si="1"/>
        <v>n/a</v>
      </c>
      <c r="C47" s="1008"/>
      <c r="D47" s="1009"/>
      <c r="E47" s="1009"/>
      <c r="F47" s="1014"/>
      <c r="G47" s="1011"/>
      <c r="H47" s="1012"/>
      <c r="I47" s="1013"/>
      <c r="J47" s="1009"/>
      <c r="K47" s="1009"/>
      <c r="L47" s="1009"/>
      <c r="M47" s="1009"/>
      <c r="N47" s="1009"/>
      <c r="O47" s="1009"/>
      <c r="P47" s="1009"/>
      <c r="Q47" s="1009"/>
      <c r="R47" s="1009"/>
      <c r="S47" s="1009"/>
    </row>
    <row r="48" spans="1:19" s="219" customFormat="1" hidden="1">
      <c r="A48" s="1006" t="str">
        <f t="shared" si="0"/>
        <v>n/a</v>
      </c>
      <c r="B48" s="1007" t="str">
        <f t="shared" si="1"/>
        <v>n/a</v>
      </c>
      <c r="C48" s="1008"/>
      <c r="D48" s="1009"/>
      <c r="E48" s="1009"/>
      <c r="F48" s="1014"/>
      <c r="G48" s="1011"/>
      <c r="H48" s="1012"/>
      <c r="I48" s="1013"/>
      <c r="J48" s="1009"/>
      <c r="K48" s="1009"/>
      <c r="L48" s="1009"/>
      <c r="M48" s="1009"/>
      <c r="N48" s="1009"/>
      <c r="O48" s="1009"/>
      <c r="P48" s="1009"/>
      <c r="Q48" s="1009"/>
      <c r="R48" s="1009"/>
      <c r="S48" s="1009"/>
    </row>
    <row r="49" spans="1:19" s="219" customFormat="1">
      <c r="A49" s="1006" t="str">
        <f t="shared" si="0"/>
        <v>n/a</v>
      </c>
      <c r="B49" s="1007" t="str">
        <f t="shared" si="1"/>
        <v>n/a</v>
      </c>
      <c r="C49" s="1008"/>
      <c r="D49" s="1009"/>
      <c r="E49" s="1009"/>
      <c r="F49" s="1014"/>
      <c r="G49" s="1011"/>
      <c r="H49" s="1012"/>
      <c r="I49" s="1013"/>
      <c r="J49" s="1009"/>
      <c r="K49" s="1009"/>
      <c r="L49" s="1009"/>
      <c r="M49" s="1009"/>
      <c r="N49" s="1009"/>
      <c r="O49" s="1009"/>
      <c r="P49" s="1009"/>
      <c r="Q49" s="1009"/>
      <c r="R49" s="1009"/>
      <c r="S49" s="1009"/>
    </row>
    <row r="50" spans="1:19" s="219" customFormat="1"/>
    <row r="51" spans="1:19" s="219" customFormat="1" ht="15" thickBot="1">
      <c r="H51" s="220" t="s">
        <v>304</v>
      </c>
      <c r="I51" s="221">
        <f>SUM(I2:I49)</f>
        <v>154</v>
      </c>
      <c r="O51" s="221">
        <f>SUM(O2:O49)</f>
        <v>40</v>
      </c>
      <c r="P51" s="221">
        <f>SUM(P2:P49)</f>
        <v>0</v>
      </c>
    </row>
    <row r="52" spans="1:19" ht="15.5" thickTop="1" thickBot="1"/>
    <row r="53" spans="1:19" ht="15" thickBot="1">
      <c r="A53" s="222" t="s">
        <v>813</v>
      </c>
      <c r="C53" s="326">
        <f>COUNTIFS(D2:D49,A53)</f>
        <v>1</v>
      </c>
      <c r="E53" s="222" t="s">
        <v>531</v>
      </c>
      <c r="F53" s="896">
        <f>COUNTIFS(E2:E49,E53)</f>
        <v>0</v>
      </c>
      <c r="H53" s="222" t="s">
        <v>914</v>
      </c>
      <c r="I53" s="896">
        <f>IFERROR(GETPIVOTDATA("Sum of DISTANCE",$K$54,"CABLE TYPE","EXISTING CABLE"),0)</f>
        <v>0</v>
      </c>
      <c r="K53" s="1185" t="s">
        <v>628</v>
      </c>
      <c r="L53" s="1187"/>
      <c r="M53" s="1187"/>
      <c r="N53" s="1186"/>
      <c r="P53"/>
    </row>
    <row r="54" spans="1:19">
      <c r="A54" s="490" t="s">
        <v>802</v>
      </c>
      <c r="C54" s="491">
        <f>COUNTIFS(D2:D49,A54)</f>
        <v>0</v>
      </c>
      <c r="E54" s="312" t="s">
        <v>240</v>
      </c>
      <c r="F54" s="897">
        <f>COUNTIFS(E2:E49,E54)</f>
        <v>0</v>
      </c>
      <c r="H54" s="315" t="s">
        <v>537</v>
      </c>
      <c r="I54" s="910">
        <f>IFERROR(GETPIVOTDATA("Sum of DISTANCE",$K$54,"CABLE TYPE","MF 12"),0)+IFERROR(GETPIVOTDATA("Sum of SLACK",$K$54,"CABLE TYPE","MF 12"),0)+IFERROR(GETPIVOTDATA("Sum of INVERT",$K$54,"CABLE TYPE","MF 12"),0)</f>
        <v>194</v>
      </c>
      <c r="K54" s="313" t="s">
        <v>550</v>
      </c>
      <c r="L54" t="s">
        <v>551</v>
      </c>
      <c r="M54" t="s">
        <v>552</v>
      </c>
      <c r="N54" t="s">
        <v>553</v>
      </c>
      <c r="P54"/>
    </row>
    <row r="55" spans="1:19">
      <c r="A55" s="490" t="s">
        <v>803</v>
      </c>
      <c r="C55" s="491">
        <f>COUNTIFS(D2:D49,A55)</f>
        <v>0</v>
      </c>
      <c r="E55" s="223" t="s">
        <v>241</v>
      </c>
      <c r="F55" s="898">
        <f>COUNTIFS(E2:E49,E55)</f>
        <v>0</v>
      </c>
      <c r="H55" s="315" t="s">
        <v>538</v>
      </c>
      <c r="I55" s="910">
        <f>IFERROR(GETPIVOTDATA("Sum of DISTANCE",$K$54,"CABLE TYPE","MF 24"),0)+IFERROR(GETPIVOTDATA("Sum of SLACK",$K$54,"CABLE TYPE","MF 24"),0)+IFERROR(GETPIVOTDATA("Sum of INVERT",$K$54,"CABLE TYPE","MF 24"),0)</f>
        <v>0</v>
      </c>
      <c r="K55" s="314" t="s">
        <v>610</v>
      </c>
      <c r="L55" s="327"/>
      <c r="M55" s="327"/>
      <c r="N55" s="327"/>
      <c r="P55"/>
    </row>
    <row r="56" spans="1:19">
      <c r="A56" s="490" t="s">
        <v>804</v>
      </c>
      <c r="C56" s="491">
        <f>COUNTIFS(D2:D49,A56)</f>
        <v>0</v>
      </c>
      <c r="E56" s="223" t="s">
        <v>757</v>
      </c>
      <c r="F56" s="898">
        <f>COUNTIFS(E2:E49,E56)</f>
        <v>0</v>
      </c>
      <c r="H56" s="315" t="s">
        <v>539</v>
      </c>
      <c r="I56" s="910">
        <f>IFERROR(GETPIVOTDATA("Sum of DISTANCE",$K$54,"CABLE TYPE","MF 48"),0)+IFERROR(GETPIVOTDATA("Sum of SLACK",$K$54,"CABLE TYPE","MF 48"),0)+IFERROR(GETPIVOTDATA("Sum of INVERT",$K$54,"CABLE TYPE","MF 48"),0)</f>
        <v>0</v>
      </c>
      <c r="K56" s="314" t="s">
        <v>537</v>
      </c>
      <c r="L56" s="327">
        <v>154</v>
      </c>
      <c r="M56" s="327">
        <v>40</v>
      </c>
      <c r="N56" s="327"/>
      <c r="O56"/>
      <c r="P56"/>
    </row>
    <row r="57" spans="1:19">
      <c r="A57" s="490" t="s">
        <v>805</v>
      </c>
      <c r="C57" s="491">
        <f>COUNTIFS(D2:D49,A57)</f>
        <v>0</v>
      </c>
      <c r="E57" s="223" t="s">
        <v>519</v>
      </c>
      <c r="F57" s="898">
        <f>COUNTIFS(E2:E49,E57)</f>
        <v>0</v>
      </c>
      <c r="H57" s="315" t="s">
        <v>540</v>
      </c>
      <c r="I57" s="910">
        <f>IFERROR(GETPIVOTDATA("Sum of DISTANCE",$K$54,"CABLE TYPE","MF 72"),0)+IFERROR(GETPIVOTDATA("Sum of SLACK",$K$54,"CABLE TYPE","MF 72"),0)+IFERROR(GETPIVOTDATA("Sum of INVERT",$K$54,"CABLE TYPE","MF 72"),0)</f>
        <v>0</v>
      </c>
      <c r="K57" s="314" t="s">
        <v>549</v>
      </c>
      <c r="L57" s="327">
        <v>154</v>
      </c>
      <c r="M57" s="327">
        <v>40</v>
      </c>
      <c r="N57" s="327"/>
      <c r="O57"/>
      <c r="P57"/>
    </row>
    <row r="58" spans="1:19">
      <c r="A58" s="490" t="s">
        <v>806</v>
      </c>
      <c r="C58" s="491">
        <f>COUNTIFS(D2:D49,A58)</f>
        <v>0</v>
      </c>
      <c r="E58" s="223" t="s">
        <v>520</v>
      </c>
      <c r="F58" s="898">
        <f>COUNTIFS(E2:E49,E58)</f>
        <v>0</v>
      </c>
      <c r="H58" s="315" t="s">
        <v>541</v>
      </c>
      <c r="I58" s="910">
        <f>IFERROR(GETPIVOTDATA("Sum of DISTANCE",$K$54,"CABLE TYPE","MF 96"),0)+IFERROR(GETPIVOTDATA("Sum of SLACK",$K$54,"CABLE TYPE","MF 96"),0)+IFERROR(GETPIVOTDATA("Sum of INVERT",$K$54,"CABLE TYPE","MF 96"),0)</f>
        <v>0</v>
      </c>
      <c r="K58"/>
      <c r="L58"/>
      <c r="M58"/>
      <c r="N58"/>
      <c r="O58"/>
      <c r="P58"/>
    </row>
    <row r="59" spans="1:19">
      <c r="A59" s="490" t="s">
        <v>807</v>
      </c>
      <c r="C59" s="491">
        <f>COUNTIFS(D2:D49,A59)</f>
        <v>0</v>
      </c>
      <c r="E59" s="223" t="s">
        <v>1054</v>
      </c>
      <c r="F59" s="898">
        <f>COUNTIFS(E2:E49,E59)</f>
        <v>0</v>
      </c>
      <c r="H59" s="315" t="s">
        <v>542</v>
      </c>
      <c r="I59" s="910">
        <f>IFERROR(GETPIVOTDATA("Sum of DISTANCE",$K$54,"CABLE TYPE","MF 144"),0)+IFERROR(GETPIVOTDATA("Sum of SLACK",$K$54,"CABLE TYPE","MF 144"),0)+IFERROR(GETPIVOTDATA("Sum of INVERT",$K$54,"CABLE TYPE","MF 144"),0)</f>
        <v>0</v>
      </c>
      <c r="K59"/>
      <c r="L59"/>
      <c r="M59"/>
      <c r="N59"/>
      <c r="O59"/>
      <c r="P59"/>
    </row>
    <row r="60" spans="1:19">
      <c r="A60" s="490" t="s">
        <v>808</v>
      </c>
      <c r="C60" s="491">
        <f>COUNTIFS(D2:D49,A60)</f>
        <v>0</v>
      </c>
      <c r="E60" s="223" t="s">
        <v>1055</v>
      </c>
      <c r="F60" s="898">
        <f>COUNTIFS(E2:E49,E60)</f>
        <v>0</v>
      </c>
      <c r="H60" s="315" t="s">
        <v>543</v>
      </c>
      <c r="I60" s="910">
        <f>IFERROR(GETPIVOTDATA("Sum of DISTANCE",$K$54,"CABLE TYPE","MF 288"),0)+IFERROR(GETPIVOTDATA("Sum of SLACK",$K$54,"CABLE TYPE","MF 288"),0)+IFERROR(GETPIVOTDATA("Sum of INVERT",$K$54,"CABLE TYPE","MF 288"),0)</f>
        <v>0</v>
      </c>
      <c r="K60"/>
      <c r="L60"/>
      <c r="M60"/>
      <c r="N60"/>
      <c r="O60"/>
      <c r="P60"/>
    </row>
    <row r="61" spans="1:19">
      <c r="A61" s="490" t="s">
        <v>809</v>
      </c>
      <c r="C61" s="491">
        <f>COUNTIFS(D2:D49,A61)</f>
        <v>0</v>
      </c>
      <c r="E61" s="886" t="s">
        <v>1192</v>
      </c>
      <c r="F61" s="899">
        <f>COUNTIFS(E2:E49,E61)</f>
        <v>0</v>
      </c>
      <c r="H61" s="886" t="s">
        <v>1186</v>
      </c>
      <c r="I61" s="910">
        <f>IFERROR(GETPIVOTDATA("Sum of DISTANCE",$K$54,"CABLE TYPE","AC 4 (Drop Cable)"),0)+IFERROR(GETPIVOTDATA("Sum of SLACK",$K$54,"CABLE TYPE","AC 4 (Drop Cable)"),0)+IFERROR(GETPIVOTDATA("Sum of INVERT",$K$54,"CABLE TYPE","AC 4 (Drop Cable)"),0)</f>
        <v>0</v>
      </c>
      <c r="K61"/>
      <c r="L61"/>
      <c r="M61"/>
      <c r="N61"/>
      <c r="O61"/>
      <c r="P61"/>
    </row>
    <row r="62" spans="1:19">
      <c r="A62" s="490" t="s">
        <v>810</v>
      </c>
      <c r="C62" s="491">
        <f>COUNTIFS(D2:D49,A62)</f>
        <v>0</v>
      </c>
      <c r="E62" s="886" t="s">
        <v>1188</v>
      </c>
      <c r="F62" s="899">
        <f>COUNTIFS(E2:E49,E62)</f>
        <v>0</v>
      </c>
      <c r="H62" s="886" t="s">
        <v>1204</v>
      </c>
      <c r="I62" s="910">
        <f>IFERROR(GETPIVOTDATA("Sum of DISTANCE",$K$54,"CABLE TYPE","AC 8"),0)+IFERROR(GETPIVOTDATA("Sum of SLACK",$K$54,"CABLE TYPE","AC 8"),0)+IFERROR(GETPIVOTDATA("Sum of INVERT",$K$54,"CABLE TYPE","AC 8"),0)</f>
        <v>0</v>
      </c>
      <c r="K62"/>
      <c r="L62"/>
      <c r="M62"/>
      <c r="N62"/>
      <c r="O62"/>
      <c r="P62"/>
    </row>
    <row r="63" spans="1:19">
      <c r="A63" s="490" t="s">
        <v>821</v>
      </c>
      <c r="C63" s="491">
        <f>COUNTIFS(D2:D49,A63)</f>
        <v>0</v>
      </c>
      <c r="E63" s="886" t="s">
        <v>1193</v>
      </c>
      <c r="F63" s="899">
        <f>COUNTIFS(E2:E49,E63)</f>
        <v>0</v>
      </c>
      <c r="H63" s="487" t="s">
        <v>1155</v>
      </c>
      <c r="I63" s="910">
        <f>IFERROR(GETPIVOTDATA("Sum of DISTANCE",$K$54,"CABLE TYPE","AC 12"),0)+IFERROR(GETPIVOTDATA("Sum of SLACK",$K$54,"CABLE TYPE","AC 12"),0)+IFERROR(GETPIVOTDATA("Sum of INVERT",$K$54,"CABLE TYPE","AC 12"),0)</f>
        <v>0</v>
      </c>
      <c r="K63"/>
      <c r="L63"/>
      <c r="M63"/>
      <c r="N63"/>
      <c r="O63"/>
      <c r="P63"/>
    </row>
    <row r="64" spans="1:19">
      <c r="A64" s="490" t="s">
        <v>811</v>
      </c>
      <c r="C64" s="491">
        <f>COUNTIFS(D2:D49,A64)</f>
        <v>0</v>
      </c>
      <c r="E64" s="886" t="s">
        <v>1190</v>
      </c>
      <c r="F64" s="899">
        <f>COUNTIFS(E2:E49,E64)</f>
        <v>0</v>
      </c>
      <c r="H64" s="487" t="s">
        <v>754</v>
      </c>
      <c r="I64" s="910">
        <f>IFERROR(GETPIVOTDATA("Sum of DISTANCE",$K$54,"CABLE TYPE","AC 24"),0)+IFERROR(GETPIVOTDATA("Sum of SLACK",$K$54,"CABLE TYPE","AC 24"),0)+IFERROR(GETPIVOTDATA("Sum of INVERT",$K$54,"CABLE TYPE","AC 24"),0)</f>
        <v>0</v>
      </c>
      <c r="K64"/>
      <c r="L64"/>
      <c r="M64"/>
      <c r="N64"/>
      <c r="O64"/>
      <c r="P64"/>
    </row>
    <row r="65" spans="1:16">
      <c r="A65" s="490" t="s">
        <v>812</v>
      </c>
      <c r="C65" s="491">
        <f>COUNTIFS(D2:D49,A65)</f>
        <v>0</v>
      </c>
      <c r="E65" s="886" t="s">
        <v>1194</v>
      </c>
      <c r="F65" s="899">
        <f>COUNTIFS(E2:E49,E65)</f>
        <v>0</v>
      </c>
      <c r="H65" s="487" t="s">
        <v>755</v>
      </c>
      <c r="I65" s="910">
        <f>IFERROR(GETPIVOTDATA("Sum of DISTANCE",$K$54,"CABLE TYPE","AC 48"),0)+IFERROR(GETPIVOTDATA("Sum of SLACK",$K$54,"CABLE TYPE","AC 48"),0)+IFERROR(GETPIVOTDATA("Sum of INVERT",$K$54,"CABLE TYPE","AC 48"),0)</f>
        <v>0</v>
      </c>
      <c r="K65"/>
      <c r="L65"/>
      <c r="M65"/>
      <c r="N65"/>
      <c r="O65"/>
      <c r="P65"/>
    </row>
    <row r="66" spans="1:16">
      <c r="A66" s="912" t="s">
        <v>1250</v>
      </c>
      <c r="C66" s="841">
        <f>COUNTIFS(D2:D49,A66)</f>
        <v>0</v>
      </c>
      <c r="E66" s="886" t="s">
        <v>1191</v>
      </c>
      <c r="F66" s="899">
        <f>COUNTIFS(E3:E50,E66)</f>
        <v>0</v>
      </c>
      <c r="H66" s="487" t="s">
        <v>756</v>
      </c>
      <c r="I66" s="910">
        <f>IFERROR(GETPIVOTDATA("Sum of DISTANCE",$K$54,"CABLE TYPE","AC 72"),0)+IFERROR(GETPIVOTDATA("Sum of SLACK",$K$54,"CABLE TYPE","AC 72"),0)+IFERROR(GETPIVOTDATA("Sum of INVERT",$K$54,"CABLE TYPE","AC 72"),0)</f>
        <v>0</v>
      </c>
      <c r="K66"/>
      <c r="L66"/>
      <c r="M66"/>
      <c r="N66"/>
      <c r="O66"/>
    </row>
    <row r="67" spans="1:16">
      <c r="A67" s="912" t="s">
        <v>1251</v>
      </c>
      <c r="C67" s="841">
        <f>COUNTIFS(D2:D49,A67)</f>
        <v>0</v>
      </c>
      <c r="E67" s="886" t="s">
        <v>1195</v>
      </c>
      <c r="F67" s="899">
        <f>COUNTIFS(E2:E49,E67)</f>
        <v>0</v>
      </c>
      <c r="H67" s="487" t="s">
        <v>1156</v>
      </c>
      <c r="I67" s="910">
        <f>IFERROR(GETPIVOTDATA("Sum of DISTANCE",$K$54,"CABLE TYPE","AC 144"),0)+IFERROR(GETPIVOTDATA("Sum of SLACK",$K$54,"CABLE TYPE","AC 144"),0)+IFERROR(GETPIVOTDATA("Sum of INVERT",$K$54,"CABLE TYPE","AC 144"),0)</f>
        <v>0</v>
      </c>
      <c r="K67"/>
      <c r="L67"/>
      <c r="M67"/>
      <c r="N67"/>
      <c r="O67"/>
    </row>
    <row r="68" spans="1:16">
      <c r="A68" s="912" t="s">
        <v>1252</v>
      </c>
      <c r="C68" s="841">
        <f>COUNTIFS(D2:D49,A68)</f>
        <v>0</v>
      </c>
      <c r="E68" s="886" t="s">
        <v>1196</v>
      </c>
      <c r="F68" s="899">
        <f>COUNTIFS(E2:E49,E68)</f>
        <v>0</v>
      </c>
      <c r="H68" s="315" t="s">
        <v>555</v>
      </c>
      <c r="I68" s="910">
        <f>IFERROR(GETPIVOTDATA("Sum of DISTANCE",$K$54,"CABLE TYPE","CST 144"),0)+IFERROR(GETPIVOTDATA("Sum of SLACK",$K$54,"CABLE TYPE","CST 144"),0)+IFERROR(GETPIVOTDATA("Sum of INVERT",$K$54,"CABLE TYPE","CST 144"),0)</f>
        <v>0</v>
      </c>
      <c r="K68"/>
      <c r="L68"/>
      <c r="M68"/>
      <c r="N68"/>
      <c r="O68"/>
    </row>
    <row r="69" spans="1:16">
      <c r="A69" s="912" t="s">
        <v>1253</v>
      </c>
      <c r="C69" s="841">
        <f>COUNTIFS(D2:D49,A69)</f>
        <v>0</v>
      </c>
      <c r="E69" s="886" t="s">
        <v>1182</v>
      </c>
      <c r="F69" s="899">
        <f>COUNTIFS(E6:E53,E69)</f>
        <v>0</v>
      </c>
      <c r="H69" s="315" t="s">
        <v>556</v>
      </c>
      <c r="I69" s="910">
        <f>IFERROR(GETPIVOTDATA("Sum of DISTANCE",$K$54,"CABLE TYPE","CST 288"),0)+IFERROR(GETPIVOTDATA("Sum of SLACK",$K$54,"CABLE TYPE","CST 288"),0)+IFERROR(GETPIVOTDATA("Sum of INVERT",$K$54,"CABLE TYPE","CST 288"),0)</f>
        <v>0</v>
      </c>
    </row>
    <row r="70" spans="1:16" ht="15" thickBot="1">
      <c r="A70" s="912" t="s">
        <v>1254</v>
      </c>
      <c r="C70" s="841">
        <f>COUNTIFS(D2:D49,A70)</f>
        <v>0</v>
      </c>
      <c r="E70" s="886" t="s">
        <v>1183</v>
      </c>
      <c r="F70" s="899">
        <f>COUNTIFS(E6:E53,E70)</f>
        <v>0</v>
      </c>
      <c r="H70" s="315" t="s">
        <v>544</v>
      </c>
      <c r="I70" s="910">
        <f>IFERROR(GETPIVOTDATA("Sum of DISTANCE",$K$54,"CABLE TYPE","FOCUS 72"),0)+IFERROR(GETPIVOTDATA("Sum of SLACK",$K$54,"CABLE TYPE","FOCUS 72"),0)+IFERROR(GETPIVOTDATA("Sum of INVERT",$K$54,"CABLE TYPE","FOCUS 72"),0)</f>
        <v>0</v>
      </c>
      <c r="N70"/>
    </row>
    <row r="71" spans="1:16" ht="15" thickBot="1">
      <c r="A71" s="912" t="s">
        <v>1255</v>
      </c>
      <c r="C71" s="841">
        <f>COUNTIFS(D2:D49,A71)</f>
        <v>0</v>
      </c>
      <c r="E71" s="886" t="s">
        <v>1185</v>
      </c>
      <c r="F71" s="899">
        <f>COUNTIFS(E6:E53,E71)</f>
        <v>0</v>
      </c>
      <c r="H71" s="315" t="s">
        <v>545</v>
      </c>
      <c r="I71" s="910">
        <f>IFERROR(GETPIVOTDATA("Sum of DISTANCE",$K$54,"CABLE TYPE","FOCUS 144"),0)+IFERROR(GETPIVOTDATA("Sum of SLACK",$K$54,"CABLE TYPE","FOCUS 144"),0)+IFERROR(GETPIVOTDATA("Sum of INVERT",$K$54,"CABLE TYPE","FOCUS 144"),0)</f>
        <v>0</v>
      </c>
      <c r="K71" s="1185" t="s">
        <v>624</v>
      </c>
      <c r="L71" s="1186"/>
      <c r="N71" s="1185" t="s">
        <v>626</v>
      </c>
      <c r="O71" s="1186"/>
    </row>
    <row r="72" spans="1:16">
      <c r="A72" s="912" t="s">
        <v>1256</v>
      </c>
      <c r="C72" s="841">
        <f>COUNTIFS(D2:D49,A72)</f>
        <v>0</v>
      </c>
      <c r="E72" s="886" t="s">
        <v>1184</v>
      </c>
      <c r="F72" s="899">
        <f>COUNTIFS(E6:E53,E72)</f>
        <v>0</v>
      </c>
      <c r="H72" s="323" t="s">
        <v>546</v>
      </c>
      <c r="I72" s="911">
        <f>IFERROR(GETPIVOTDATA("Sum of DISTANCE",$K$54,"CABLE TYPE","FOCUS 288"),0)+IFERROR(GETPIVOTDATA("Sum of SLACK",$K$54,"CABLE TYPE","FOCUS 288"),0)+IFERROR(GETPIVOTDATA("Sum of INVERT",$K$54,"CABLE TYPE","FOCUS 288"),0)</f>
        <v>0</v>
      </c>
      <c r="K72" s="313" t="s">
        <v>550</v>
      </c>
      <c r="L72" t="s">
        <v>551</v>
      </c>
      <c r="M72"/>
      <c r="N72" s="313" t="s">
        <v>550</v>
      </c>
      <c r="O72" t="s">
        <v>551</v>
      </c>
      <c r="P72"/>
    </row>
    <row r="73" spans="1:16" ht="15" thickBot="1">
      <c r="A73" s="488" t="s">
        <v>814</v>
      </c>
      <c r="C73" s="489">
        <f>COUNTIFS(D2:D49,A73)</f>
        <v>0</v>
      </c>
      <c r="E73" s="223" t="s">
        <v>758</v>
      </c>
      <c r="F73" s="898">
        <f>COUNTIFS(E2:E49,E73)</f>
        <v>1</v>
      </c>
      <c r="H73" s="912" t="s">
        <v>1245</v>
      </c>
      <c r="I73" s="911">
        <f>IFERROR(GETPIVOTDATA("Sum of DISTANCE",$K$54,"CABLE TYPE","VERTICASA (2X12) 24F"),0)+IFERROR(GETPIVOTDATA("Sum of SLACK",$K$54,"CABLE TYPE","VERTICASA (2X12) 24F"),0)+IFERROR(GETPIVOTDATA("Sum of INVERT",$K$54,"CABLE TYPE","VERTICASA (2X12) 24F"),0)</f>
        <v>0</v>
      </c>
      <c r="K73" s="314" t="s">
        <v>610</v>
      </c>
      <c r="L73">
        <v>0</v>
      </c>
      <c r="M73"/>
      <c r="N73" s="314" t="s">
        <v>610</v>
      </c>
      <c r="O73">
        <v>0</v>
      </c>
      <c r="P73"/>
    </row>
    <row r="74" spans="1:16">
      <c r="E74" s="223" t="s">
        <v>158</v>
      </c>
      <c r="F74" s="898">
        <f>COUNTIFS(E2:E49,E74)</f>
        <v>0</v>
      </c>
      <c r="H74" s="912" t="s">
        <v>1246</v>
      </c>
      <c r="I74" s="911">
        <f>IFERROR(GETPIVOTDATA("Sum of DISTANCE",$K$54,"CABLE TYPE","VERTICASA (2X24) 48F"),0)+IFERROR(GETPIVOTDATA("Sum of SLACK",$K$54,"CABLE TYPE","VERTICASA (2X24) 48F"),0)+IFERROR(GETPIVOTDATA("Sum of INVERT",$K$54,"CABLE TYPE","VERTICASA (2X24) 48F"),0)</f>
        <v>0</v>
      </c>
      <c r="K74" s="314" t="s">
        <v>786</v>
      </c>
      <c r="L74">
        <v>154</v>
      </c>
      <c r="M74"/>
      <c r="N74" s="314" t="s">
        <v>781</v>
      </c>
      <c r="O74">
        <v>70</v>
      </c>
      <c r="P74"/>
    </row>
    <row r="75" spans="1:16" ht="15" thickBot="1">
      <c r="E75" s="223" t="s">
        <v>759</v>
      </c>
      <c r="F75" s="898">
        <f>COUNTIFS(E2:E49,E75)</f>
        <v>0</v>
      </c>
      <c r="H75" s="323" t="s">
        <v>1247</v>
      </c>
      <c r="I75" s="911">
        <f>IFERROR(GETPIVOTDATA("Sum of DISTANCE",$K$54,"CABLE TYPE","VERTICASA (2X48) 96F"),0)+IFERROR(GETPIVOTDATA("Sum of SLACK",$K$54,"CABLE TYPE","VERTICASA (2X48) 96F"),0)+IFERROR(GETPIVOTDATA("Sum of INVERT",$K$54,"CABLE TYPE","VERTICASA (2X48) 96F"),0)</f>
        <v>0</v>
      </c>
      <c r="K75" s="314" t="s">
        <v>549</v>
      </c>
      <c r="L75">
        <v>154</v>
      </c>
      <c r="M75"/>
      <c r="N75" s="314" t="s">
        <v>912</v>
      </c>
      <c r="O75">
        <v>4</v>
      </c>
      <c r="P75"/>
    </row>
    <row r="76" spans="1:16">
      <c r="E76" s="223" t="s">
        <v>760</v>
      </c>
      <c r="F76" s="898">
        <f>COUNTIFS(E2:E49,E76)</f>
        <v>0</v>
      </c>
      <c r="H76" s="539" t="s">
        <v>938</v>
      </c>
      <c r="I76" s="907">
        <f>IFERROR(GETPIVOTDATA("Sum of DISTANCE",$K$54,"CABLE TYPE","2 F DUAL DROP CABLE"),0)+IFERROR(GETPIVOTDATA("Sum of SLACK",$K$54,"CABLE TYPE","2 F DUAL DROP CABLE"),0)+IFERROR(GETPIVOTDATA("Sum of INVERT",$K$54,"CABLE TYPE","2 F DUAL DROP CABLE"),0)</f>
        <v>0</v>
      </c>
      <c r="K76"/>
      <c r="L76"/>
      <c r="M76"/>
      <c r="N76" s="314" t="s">
        <v>777</v>
      </c>
      <c r="O76">
        <v>20</v>
      </c>
      <c r="P76"/>
    </row>
    <row r="77" spans="1:16">
      <c r="E77" s="436" t="s">
        <v>818</v>
      </c>
      <c r="F77" s="898">
        <f>COUNTIFS(E2:E49,E77)</f>
        <v>0</v>
      </c>
      <c r="H77" s="540" t="s">
        <v>939</v>
      </c>
      <c r="I77" s="908">
        <f>IFERROR(GETPIVOTDATA("Sum of DISTANCE",$K$54,"CABLE TYPE","4 F DUAL DROP CABLE"),0)+IFERROR(GETPIVOTDATA("Sum of SLACK",$K$54,"CABLE TYPE","4 F DUAL DROP CABLE"),0)+IFERROR(GETPIVOTDATA("Sum of INVERT",$K$54,"CABLE TYPE","4 F DUAL DROP CABLE"),0)</f>
        <v>0</v>
      </c>
      <c r="K77"/>
      <c r="L77"/>
      <c r="M77"/>
      <c r="N77" s="314" t="s">
        <v>771</v>
      </c>
      <c r="O77">
        <v>55</v>
      </c>
      <c r="P77"/>
    </row>
    <row r="78" spans="1:16">
      <c r="E78" s="224" t="s">
        <v>820</v>
      </c>
      <c r="F78" s="900">
        <f>COUNTIFS(E2:E49,E78)</f>
        <v>0</v>
      </c>
      <c r="H78" s="540" t="s">
        <v>940</v>
      </c>
      <c r="I78" s="908">
        <f>IFERROR(GETPIVOTDATA("Sum of DISTANCE",$K$54,"CABLE TYPE","6 F DUAL DROP CABLE"),0)+IFERROR(GETPIVOTDATA("Sum of SLACK",$K$54,"CABLE TYPE","6 F DUAL DROP CABLE"),0)+IFERROR(GETPIVOTDATA("Sum of INVERT",$K$54,"CABLE TYPE","6 F DUAL DROP CABLE"),0)</f>
        <v>0</v>
      </c>
      <c r="K78"/>
      <c r="L78"/>
      <c r="M78"/>
      <c r="N78" s="314" t="s">
        <v>774</v>
      </c>
      <c r="O78">
        <v>5</v>
      </c>
      <c r="P78"/>
    </row>
    <row r="79" spans="1:16" ht="15" thickBot="1">
      <c r="E79" s="225" t="s">
        <v>761</v>
      </c>
      <c r="F79" s="901">
        <f>COUNTIFS(E2:E49,E79)</f>
        <v>0</v>
      </c>
      <c r="H79" s="540" t="s">
        <v>941</v>
      </c>
      <c r="I79" s="908">
        <f>IFERROR(GETPIVOTDATA("Sum of DISTANCE",$K$54,"CABLE TYPE","8 F DUAL DROP CABLE"),0)+IFERROR(GETPIVOTDATA("Sum of SLACK",$K$54,"CABLE TYPE","8 F DUAL DROP CABLE"),0)+IFERROR(GETPIVOTDATA("Sum of INVERT",$K$54,"CABLE TYPE","8 F DUAL DROP CABLE"),0)</f>
        <v>0</v>
      </c>
      <c r="K79"/>
      <c r="L79"/>
      <c r="M79"/>
      <c r="N79" s="314" t="s">
        <v>549</v>
      </c>
      <c r="O79">
        <v>154</v>
      </c>
      <c r="P79"/>
    </row>
    <row r="80" spans="1:16">
      <c r="F80" s="329"/>
      <c r="H80" s="540" t="s">
        <v>942</v>
      </c>
      <c r="I80" s="908">
        <f>IFERROR(GETPIVOTDATA("Sum of DISTANCE",$K$54,"CABLE TYPE","12 F DUAL DROP CABLE"),0)+IFERROR(GETPIVOTDATA("Sum of SLACK",$K$54,"CABLE TYPE","12 F DUAL DROP CABLE"),0)+IFERROR(GETPIVOTDATA("Sum of INVERT",$K$54,"CABLE TYPE","12 F DUAL DROP CABLE"),0)</f>
        <v>0</v>
      </c>
      <c r="K80"/>
      <c r="L80"/>
      <c r="M80"/>
      <c r="N80"/>
      <c r="O80"/>
      <c r="P80"/>
    </row>
    <row r="81" spans="5:16" ht="15" thickBot="1">
      <c r="F81" s="329"/>
      <c r="H81" s="541" t="s">
        <v>943</v>
      </c>
      <c r="I81" s="909">
        <f>IFERROR(GETPIVOTDATA("Sum of DISTANCE",$K$54,"CABLE TYPE","24 F DUAL DROP CABLE"),0)+IFERROR(GETPIVOTDATA("Sum of SLACK",$K$54,"CABLE TYPE","24 F DUAL DROP CABLE"),0)+IFERROR(GETPIVOTDATA("Sum of INVERT",$K$54,"CABLE TYPE","24 F DUAL DROP CABLE"),0)</f>
        <v>0</v>
      </c>
      <c r="K81"/>
      <c r="L81"/>
      <c r="M81"/>
      <c r="N81"/>
      <c r="O81"/>
      <c r="P81"/>
    </row>
    <row r="82" spans="5:16" ht="15" thickBot="1">
      <c r="E82" s="222" t="s">
        <v>762</v>
      </c>
      <c r="F82" s="896">
        <f>COUNTIFS(J2:J49,E82)</f>
        <v>0</v>
      </c>
      <c r="H82" s="623" t="s">
        <v>1071</v>
      </c>
      <c r="I82" s="624">
        <f>SUM(I76:I81)</f>
        <v>0</v>
      </c>
      <c r="K82" s="1185" t="s">
        <v>625</v>
      </c>
      <c r="L82" s="1186"/>
      <c r="M82"/>
      <c r="P82"/>
    </row>
    <row r="83" spans="5:16">
      <c r="E83" s="223" t="s">
        <v>763</v>
      </c>
      <c r="F83" s="898">
        <f>COUNTIFS(J2:J49,E83)</f>
        <v>0</v>
      </c>
      <c r="H83" s="222" t="s">
        <v>782</v>
      </c>
      <c r="I83" s="896">
        <f>IFERROR(GETPIVOTDATA("CABLE TYPE",$K$83,"CABLE TYPE","10m Wall Box Cable"),0)</f>
        <v>0</v>
      </c>
      <c r="K83" s="313" t="s">
        <v>550</v>
      </c>
      <c r="L83" t="s">
        <v>594</v>
      </c>
      <c r="M83"/>
      <c r="P83"/>
    </row>
    <row r="84" spans="5:16">
      <c r="E84" s="223" t="s">
        <v>764</v>
      </c>
      <c r="F84" s="898">
        <f>COUNTIFS(J2:J49,E84)</f>
        <v>0</v>
      </c>
      <c r="H84" s="324" t="s">
        <v>783</v>
      </c>
      <c r="I84" s="903">
        <f>IFERROR(GETPIVOTDATA("CABLE TYPE",$K$83,"CABLE TYPE","30m Wall Box Cable"),0)</f>
        <v>0</v>
      </c>
      <c r="K84" s="314" t="s">
        <v>610</v>
      </c>
      <c r="L84" s="327"/>
      <c r="M84"/>
      <c r="P84"/>
    </row>
    <row r="85" spans="5:16">
      <c r="E85" s="223" t="s">
        <v>765</v>
      </c>
      <c r="F85" s="898">
        <f>COUNTIFS(J2:J49,E85)</f>
        <v>0</v>
      </c>
      <c r="H85" s="324" t="s">
        <v>784</v>
      </c>
      <c r="I85" s="903">
        <f>IFERROR(GETPIVOTDATA("CABLE TYPE",$K$83,"CABLE TYPE","70m Wall Box Cable"),0)</f>
        <v>0</v>
      </c>
      <c r="K85" s="314" t="s">
        <v>537</v>
      </c>
      <c r="L85" s="327">
        <v>10</v>
      </c>
      <c r="M85"/>
      <c r="P85"/>
    </row>
    <row r="86" spans="5:16" ht="15" thickBot="1">
      <c r="E86" s="223" t="s">
        <v>766</v>
      </c>
      <c r="F86" s="898">
        <f>COUNTIFS(J2:J49,E86)</f>
        <v>0</v>
      </c>
      <c r="H86" s="325" t="s">
        <v>785</v>
      </c>
      <c r="I86" s="905">
        <f>IFERROR(GETPIVOTDATA("CABLE TYPE",$K$83,"CABLE TYPE","100m Wall Box Cable"),0)</f>
        <v>0</v>
      </c>
      <c r="K86" s="314" t="s">
        <v>549</v>
      </c>
      <c r="L86" s="327">
        <v>10</v>
      </c>
      <c r="M86"/>
      <c r="N86"/>
      <c r="O86"/>
      <c r="P86"/>
    </row>
    <row r="87" spans="5:16" ht="15" thickBot="1">
      <c r="E87" s="225" t="s">
        <v>767</v>
      </c>
      <c r="F87" s="901">
        <f>COUNTIFS(J2:J49,E87)</f>
        <v>0</v>
      </c>
      <c r="I87" s="328">
        <f>(I83*10)+(I84*30)+(I85*70)+(I86*100)</f>
        <v>0</v>
      </c>
      <c r="K87"/>
      <c r="L87"/>
      <c r="M87"/>
      <c r="N87"/>
      <c r="O87"/>
      <c r="P87"/>
    </row>
    <row r="88" spans="5:16" ht="15" thickBot="1">
      <c r="K88"/>
      <c r="L88"/>
      <c r="M88"/>
      <c r="N88"/>
      <c r="O88"/>
      <c r="P88"/>
    </row>
    <row r="89" spans="5:16" ht="15" thickBot="1">
      <c r="H89" s="222" t="s">
        <v>1249</v>
      </c>
      <c r="I89" s="896">
        <f>IFERROR(GETPIVOTDATA("Sum of DISTANCE",$K$72,"SUB DUCT","EXISTING DUCTING"),0)</f>
        <v>0</v>
      </c>
      <c r="K89"/>
      <c r="L89"/>
      <c r="M89"/>
      <c r="N89"/>
      <c r="O89"/>
      <c r="P89"/>
    </row>
    <row r="90" spans="5:16">
      <c r="E90" s="222" t="s">
        <v>768</v>
      </c>
      <c r="F90" s="896">
        <f>IFERROR(GETPIVOTDATA("Sum of DISTANCE",$N$72,"DUCT TYPE","Direct Buried"),0)</f>
        <v>0</v>
      </c>
      <c r="H90" s="330" t="s">
        <v>786</v>
      </c>
      <c r="I90" s="902">
        <f>IFERROR(GETPIVOTDATA("Sum of DISTANCE",$K$72,"SUB DUCT","14/10-1 Way"),0)+IFERROR((GETPIVOTDATA("Sum of DISTANCE",$K$72,"SUB DUCT","14/10-1 Way")*5%),0)</f>
        <v>161.69999999999999</v>
      </c>
      <c r="K90"/>
      <c r="L90"/>
      <c r="M90"/>
      <c r="N90"/>
      <c r="O90"/>
      <c r="P90"/>
    </row>
    <row r="91" spans="5:16">
      <c r="E91" s="330" t="s">
        <v>832</v>
      </c>
      <c r="F91" s="902">
        <f>IFERROR(GETPIVOTDATA("Sum of DISTANCE",$N$72,"DUCT TYPE","AERIAL"),0)</f>
        <v>0</v>
      </c>
      <c r="H91" s="487" t="s">
        <v>787</v>
      </c>
      <c r="I91" s="906">
        <f>IFERROR(GETPIVOTDATA("Sum of DISTANCE",$K$72,"SUB DUCT","14/10-2 Way"),0)+IFERROR((GETPIVOTDATA("Sum of DISTANCE",$K$72,"SUB DUCT","14/10-2 Way")*5%),0)</f>
        <v>0</v>
      </c>
      <c r="K91"/>
      <c r="L91"/>
      <c r="M91"/>
      <c r="N91"/>
      <c r="O91"/>
      <c r="P91"/>
    </row>
    <row r="92" spans="5:16">
      <c r="E92" s="330" t="s">
        <v>769</v>
      </c>
      <c r="F92" s="902">
        <f>IFERROR(GETPIVOTDATA("Sum of DISTANCE",$N$72,"DUCT TYPE","40mm Aggri"),0)</f>
        <v>0</v>
      </c>
      <c r="H92" s="487" t="s">
        <v>788</v>
      </c>
      <c r="I92" s="906">
        <f>IFERROR(GETPIVOTDATA("Sum of DISTANCE",$K$72,"SUB DUCT","14/10-4 Way"),0)+IFERROR((GETPIVOTDATA("Sum of DISTANCE",$K$72,"SUB DUCT","14/10-4 Way")*5%),0)</f>
        <v>0</v>
      </c>
      <c r="K92"/>
      <c r="L92"/>
      <c r="M92"/>
      <c r="N92"/>
      <c r="O92"/>
      <c r="P92"/>
    </row>
    <row r="93" spans="5:16" ht="15" thickBot="1">
      <c r="E93" s="324" t="s">
        <v>770</v>
      </c>
      <c r="F93" s="903">
        <f>IFERROR(GETPIVOTDATA("Sum of DISTANCE",$N$72,"DUCT TYPE","50mm Aggri"),0)+IFERROR(GETPIVOTDATA("Sum of Slack",$N$95,"MH TYPE","New Pole 7,2m (Route Start)"),0)+IFERROR(GETPIVOTDATA("Sum of Slack",$N$95,"MH TYPE","New Pole 9m (Route Start)"),0)+IFERROR(GETPIVOTDATA("Sum of Slack",$N$95,"MH TYPE","Existing Pole (Route Start)"),0)</f>
        <v>0</v>
      </c>
      <c r="H93" s="487" t="s">
        <v>789</v>
      </c>
      <c r="I93" s="906">
        <f>IFERROR(GETPIVOTDATA("Sum of DISTANCE",$K$72,"SUB DUCT","14/10-7 Way"),0)+IFERROR((GETPIVOTDATA("Sum of DISTANCE",$K$72,"SUB DUCT","14/10-7 Way")*5%),0)</f>
        <v>0</v>
      </c>
      <c r="K93"/>
      <c r="L93"/>
      <c r="M93"/>
      <c r="N93"/>
      <c r="O93"/>
      <c r="P93"/>
    </row>
    <row r="94" spans="5:16" ht="15" thickBot="1">
      <c r="E94" s="324" t="s">
        <v>771</v>
      </c>
      <c r="F94" s="903">
        <f>IFERROR(GETPIVOTDATA("Sum of DISTANCE",$N$72,"DUCT TYPE","110mm HDPE pipe"),0)</f>
        <v>55</v>
      </c>
      <c r="H94" s="487" t="s">
        <v>790</v>
      </c>
      <c r="I94" s="906">
        <f>IFERROR(GETPIVOTDATA("Sum of DISTANCE",$K$72,"SUB DUCT","12/10-2 Way"),0)+IFERROR((GETPIVOTDATA("Sum of DISTANCE",$K$72,"SUB DUCT","12/10-2 Way")*5%),0)</f>
        <v>0</v>
      </c>
      <c r="K94" s="1185" t="s">
        <v>627</v>
      </c>
      <c r="L94" s="1186"/>
      <c r="N94" s="1185" t="s">
        <v>1187</v>
      </c>
      <c r="O94" s="1186"/>
      <c r="P94"/>
    </row>
    <row r="95" spans="5:16">
      <c r="E95" s="331" t="s">
        <v>772</v>
      </c>
      <c r="F95" s="904">
        <f>IFERROR(GETPIVOTDATA("Sum of DISTANCE",$N$72,"DUCT TYPE","110MM DRILL PIPE"),0)</f>
        <v>0</v>
      </c>
      <c r="H95" s="487" t="s">
        <v>791</v>
      </c>
      <c r="I95" s="906">
        <f>IFERROR(GETPIVOTDATA("Sum of DISTANCE",$K$72,"SUB DUCT","12/10-4 Way"),0)+IFERROR((GETPIVOTDATA("Sum of DISTANCE",$K$72,"SUB DUCT","12/10-4 Way")*5%),0)</f>
        <v>0</v>
      </c>
      <c r="K95" s="313" t="s">
        <v>550</v>
      </c>
      <c r="L95" t="s">
        <v>551</v>
      </c>
      <c r="N95" s="313" t="s">
        <v>550</v>
      </c>
      <c r="O95" t="s">
        <v>552</v>
      </c>
      <c r="P95"/>
    </row>
    <row r="96" spans="5:16">
      <c r="E96" s="331" t="s">
        <v>773</v>
      </c>
      <c r="F96" s="904">
        <f>IFERROR(GETPIVOTDATA("Sum of DISTANCE",$N$72,"DUCT TYPE","50mm Bosal"),0)</f>
        <v>0</v>
      </c>
      <c r="H96" s="886" t="s">
        <v>792</v>
      </c>
      <c r="I96" s="899">
        <f>IFERROR(GETPIVOTDATA("Sum of DISTANCE",$K$72,"SUB DUCT","12/10-7 Way"),0)+IFERROR((GETPIVOTDATA("Sum of DISTANCE",$K$72,"SUB DUCT","12/10-7 Way")*5%),0)</f>
        <v>0</v>
      </c>
      <c r="K96" s="314" t="s">
        <v>610</v>
      </c>
      <c r="L96">
        <v>99</v>
      </c>
      <c r="N96" s="314" t="s">
        <v>610</v>
      </c>
      <c r="O96">
        <v>20</v>
      </c>
      <c r="P96"/>
    </row>
    <row r="97" spans="5:16">
      <c r="E97" s="331" t="s">
        <v>774</v>
      </c>
      <c r="F97" s="904">
        <f>IFERROR(GETPIVOTDATA("Sum of DISTANCE",$N$72,"DUCT TYPE","Existing Duct"),0)</f>
        <v>5</v>
      </c>
      <c r="H97" s="330" t="s">
        <v>1248</v>
      </c>
      <c r="I97" s="902">
        <f>IFERROR(GETPIVOTDATA("Sum of DISTANCE",$K$72,"SUB DUCT","DIRECT"),0)</f>
        <v>0</v>
      </c>
      <c r="K97" s="314" t="s">
        <v>799</v>
      </c>
      <c r="L97">
        <v>35</v>
      </c>
      <c r="N97" s="314" t="s">
        <v>758</v>
      </c>
      <c r="O97">
        <v>20</v>
      </c>
      <c r="P97"/>
    </row>
    <row r="98" spans="5:16" ht="15" thickBot="1">
      <c r="E98" s="436" t="s">
        <v>775</v>
      </c>
      <c r="F98" s="904">
        <f>IFERROR(GETPIVOTDATA("Sum of DISTANCE",$N$72,"DUCT TYPE","25mm Sprague"),0)</f>
        <v>0</v>
      </c>
      <c r="H98" s="1000" t="s">
        <v>832</v>
      </c>
      <c r="I98" s="1001">
        <f>IFERROR(GETPIVOTDATA("Sum of DISTANCE",$K$72,"SUB DUCT","AERIAL"),0)+IFERROR((GETPIVOTDATA("Sum of DISTANCE",$K$72,"SUB DUCT","AERIAL")*10%),0)</f>
        <v>0</v>
      </c>
      <c r="K98" s="314" t="s">
        <v>793</v>
      </c>
      <c r="L98">
        <v>20</v>
      </c>
      <c r="N98" s="314" t="s">
        <v>549</v>
      </c>
      <c r="O98">
        <v>40</v>
      </c>
      <c r="P98"/>
    </row>
    <row r="99" spans="5:16">
      <c r="E99" s="436" t="s">
        <v>776</v>
      </c>
      <c r="F99" s="904">
        <f>IFERROR(GETPIVOTDATA("Sum of DISTANCE",$N$72,"DUCT TYPE","50mm Sprague"),0)</f>
        <v>0</v>
      </c>
      <c r="K99" s="314" t="s">
        <v>549</v>
      </c>
      <c r="L99">
        <v>154</v>
      </c>
      <c r="N99"/>
      <c r="O99"/>
      <c r="P99"/>
    </row>
    <row r="100" spans="5:16" ht="15" thickBot="1">
      <c r="E100" s="436" t="s">
        <v>777</v>
      </c>
      <c r="F100" s="904">
        <f>IFERROR(GETPIVOTDATA("Sum of DISTANCE",$N$72,"DUCT TYPE","25mm PVC"),0)</f>
        <v>20</v>
      </c>
      <c r="K100"/>
      <c r="L100"/>
      <c r="N100"/>
      <c r="O100"/>
      <c r="P100"/>
    </row>
    <row r="101" spans="5:16">
      <c r="E101" s="436" t="s">
        <v>778</v>
      </c>
      <c r="F101" s="904">
        <f>IFERROR(GETPIVOTDATA("Sum of DISTANCE",$N$72,"DUCT TYPE","50mm PVC"),0)</f>
        <v>0</v>
      </c>
      <c r="H101" s="222" t="s">
        <v>1244</v>
      </c>
      <c r="I101" s="896">
        <f>IFERROR(GETPIVOTDATA("Sum of DISTANCE",$K$95,"TRENCH TYPE","IN BUILDING"),0)</f>
        <v>0</v>
      </c>
      <c r="K101"/>
      <c r="L101"/>
    </row>
    <row r="102" spans="5:16">
      <c r="E102" s="436" t="s">
        <v>911</v>
      </c>
      <c r="F102" s="904">
        <f>IFERROR(GETPIVOTDATA("Sum of DISTANCE",$N$72,"DUCT TYPE","TRUNKING 16x16"),0)</f>
        <v>0</v>
      </c>
      <c r="H102" s="330" t="s">
        <v>793</v>
      </c>
      <c r="I102" s="902">
        <f>IFERROR(GETPIVOTDATA("Sum of DISTANCE",$K$95,"TRENCH TYPE","Soil"),0)</f>
        <v>20</v>
      </c>
    </row>
    <row r="103" spans="5:16">
      <c r="E103" s="436" t="s">
        <v>912</v>
      </c>
      <c r="F103" s="904">
        <f>IFERROR(GETPIVOTDATA("Sum of DISTANCE",$N$72,"DUCT TYPE","TRUNKING 25x25"),0)</f>
        <v>4</v>
      </c>
      <c r="H103" s="330" t="s">
        <v>832</v>
      </c>
      <c r="I103" s="902">
        <f>IFERROR(GETPIVOTDATA("Sum of DISTANCE",$K$95,"TRENCH TYPE","AERIAL"),0)</f>
        <v>0</v>
      </c>
    </row>
    <row r="104" spans="5:16">
      <c r="E104" s="436" t="s">
        <v>913</v>
      </c>
      <c r="F104" s="904">
        <f>IFERROR(GETPIVOTDATA("Sum of DISTANCE",$N$72,"DUCT TYPE","TRUNKING 40x40"),0)</f>
        <v>0</v>
      </c>
      <c r="H104" s="324" t="s">
        <v>794</v>
      </c>
      <c r="I104" s="903">
        <f>IFERROR(GETPIVOTDATA("Sum of DISTANCE",$K$95,"TRENCH TYPE","DW Paving"),0)</f>
        <v>0</v>
      </c>
    </row>
    <row r="105" spans="5:16">
      <c r="E105" s="436" t="s">
        <v>910</v>
      </c>
      <c r="F105" s="904">
        <f>IFERROR(GETPIVOTDATA("Sum of DISTANCE",$N$72,"DUCT TYPE","EXISTING TRUNKING"),0)</f>
        <v>0</v>
      </c>
      <c r="H105" s="324" t="s">
        <v>795</v>
      </c>
      <c r="I105" s="903">
        <f>IFERROR(GETPIVOTDATA("Sum of DISTANCE",$K$95,"TRENCH TYPE","DW Asphalt"),0)</f>
        <v>0</v>
      </c>
    </row>
    <row r="106" spans="5:16">
      <c r="E106" s="436" t="s">
        <v>779</v>
      </c>
      <c r="F106" s="904">
        <f>IFERROR(GETPIVOTDATA("Sum of DISTANCE",$N$72,"DUCT TYPE","Existing Cable Tray"),0)</f>
        <v>0</v>
      </c>
      <c r="H106" s="324" t="s">
        <v>796</v>
      </c>
      <c r="I106" s="903">
        <f>IFERROR(GETPIVOTDATA("Sum of DISTANCE",$K$95,"TRENCH TYPE","RC Drill"),0)</f>
        <v>0</v>
      </c>
    </row>
    <row r="107" spans="5:16">
      <c r="E107" s="436" t="s">
        <v>780</v>
      </c>
      <c r="F107" s="904">
        <f>IFERROR(GETPIVOTDATA("Sum of DISTANCE",$N$72,"DUCT TYPE","Cable Tray"),0)</f>
        <v>0</v>
      </c>
      <c r="H107" s="324" t="s">
        <v>797</v>
      </c>
      <c r="I107" s="903">
        <f>IFERROR(GETPIVOTDATA("Sum of DISTANCE",$K$95,"TRENCH TYPE","DW Drill"),0)</f>
        <v>0</v>
      </c>
    </row>
    <row r="108" spans="5:16">
      <c r="E108" s="331" t="s">
        <v>158</v>
      </c>
      <c r="F108" s="904">
        <f>IFERROR(GETPIVOTDATA("Sum of DISTANCE",$N$72,"DUCT TYPE","Sewer"),0)</f>
        <v>0</v>
      </c>
      <c r="H108" s="324" t="s">
        <v>798</v>
      </c>
      <c r="I108" s="903">
        <f>IFERROR(GETPIVOTDATA("Sum of DISTANCE",$K$95,"TRENCH TYPE","Tar Cut"),0)</f>
        <v>0</v>
      </c>
    </row>
    <row r="109" spans="5:16">
      <c r="E109" s="331" t="s">
        <v>759</v>
      </c>
      <c r="F109" s="904">
        <f>IFERROR(GETPIVOTDATA("Sum of DISTANCE",$N$72,"DUCT TYPE","Stormwater"),0)</f>
        <v>0</v>
      </c>
      <c r="H109" s="324" t="s">
        <v>799</v>
      </c>
      <c r="I109" s="903">
        <f>IFERROR(GETPIVOTDATA("Sum of DISTANCE",$K$95,"TRENCH TYPE","Paving"),0)</f>
        <v>35</v>
      </c>
    </row>
    <row r="110" spans="5:16" ht="15" thickBot="1">
      <c r="E110" s="325" t="s">
        <v>781</v>
      </c>
      <c r="F110" s="905">
        <f>IFERROR(GETPIVOTDATA("Sum of DISTANCE",$N$72,"DUCT TYPE","3rd Party Duct"),0)</f>
        <v>70</v>
      </c>
      <c r="H110" s="512" t="s">
        <v>877</v>
      </c>
      <c r="I110" s="903">
        <f>IFERROR(GETPIVOTDATA("Sum of DISTANCE",$K$95,"TRENCH TYPE","Landscape"),0)</f>
        <v>0</v>
      </c>
    </row>
    <row r="111" spans="5:16" ht="15" thickBot="1">
      <c r="H111" s="325" t="s">
        <v>800</v>
      </c>
      <c r="I111" s="905">
        <f>IFERROR(GETPIVOTDATA("Sum of DISTANCE",$K$95,"TRENCH TYPE","Concrete"),0)</f>
        <v>0</v>
      </c>
    </row>
  </sheetData>
  <autoFilter ref="A1:S1" xr:uid="{00000000-0009-0000-0000-000006000000}"/>
  <mergeCells count="6">
    <mergeCell ref="K94:L94"/>
    <mergeCell ref="K53:N53"/>
    <mergeCell ref="K71:L71"/>
    <mergeCell ref="K82:L82"/>
    <mergeCell ref="N71:O71"/>
    <mergeCell ref="N94:O94"/>
  </mergeCells>
  <phoneticPr fontId="139" type="noConversion"/>
  <dataValidations count="6">
    <dataValidation type="list" allowBlank="1" showInputMessage="1" showErrorMessage="1" sqref="L2:L49" xr:uid="{00000000-0002-0000-0600-000004000000}">
      <formula1>$E$90:$E$110</formula1>
    </dataValidation>
    <dataValidation type="list" allowBlank="1" showInputMessage="1" showErrorMessage="1" sqref="E2:E49" xr:uid="{00000000-0002-0000-0600-000001000000}">
      <formula1>$E$53:$E$79</formula1>
    </dataValidation>
    <dataValidation type="list" allowBlank="1" showInputMessage="1" showErrorMessage="1" sqref="K2:K49" xr:uid="{00000000-0002-0000-0600-000003000000}">
      <formula1>$H$101:$H$111</formula1>
    </dataValidation>
    <dataValidation type="list" allowBlank="1" showInputMessage="1" showErrorMessage="1" sqref="D2:D49" xr:uid="{00000000-0002-0000-0600-000002000000}">
      <formula1>$A$53:$A$73</formula1>
    </dataValidation>
    <dataValidation type="list" allowBlank="1" showInputMessage="1" showErrorMessage="1" sqref="N2:N49" xr:uid="{00000000-0002-0000-0600-000005000000}">
      <formula1>$H$53:$H$86</formula1>
    </dataValidation>
    <dataValidation type="list" allowBlank="1" showInputMessage="1" showErrorMessage="1" sqref="M2:M49" xr:uid="{00000000-0002-0000-0600-000000000000}">
      <formula1>$H$89:$H$98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Lee Naicker</cp:lastModifiedBy>
  <cp:lastPrinted>2021-10-11T09:54:34Z</cp:lastPrinted>
  <dcterms:created xsi:type="dcterms:W3CDTF">2013-02-18T15:08:29Z</dcterms:created>
  <dcterms:modified xsi:type="dcterms:W3CDTF">2023-08-31T10:44:13Z</dcterms:modified>
</cp:coreProperties>
</file>