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ms-excel.sheet.macroEnabled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vbaProject.bin" ContentType="application/vnd.ms-office.vbaPro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 codeName="{62F9E958-00F4-224C-1CEB-3A4BEE276A53}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phamandlas\Desktop\Sipha Planing\Eletronic Communications Network (Pty) Ltd Ethekwini ISP Plan ECN - Roots Dube Village - 77K0057591\"/>
    </mc:Choice>
  </mc:AlternateContent>
  <xr:revisionPtr revIDLastSave="0" documentId="8_{C717ED07-3DD7-47DD-8489-5A1B3BFD05DD}" xr6:coauthVersionLast="47" xr6:coauthVersionMax="47" xr10:uidLastSave="{00000000-0000-0000-0000-000000000000}"/>
  <bookViews>
    <workbookView xWindow="-108" yWindow="-108" windowWidth="23256" windowHeight="12456" tabRatio="839" xr2:uid="{00000000-000D-0000-FFFF-FFFF00000000}"/>
  </bookViews>
  <sheets>
    <sheet name="EXE Dashboard" sheetId="22" r:id="rId1"/>
    <sheet name="Infra Build BOQ" sheetId="9" r:id="rId2"/>
    <sheet name="MATERIAL REQUEST" sheetId="23" r:id="rId3"/>
    <sheet name="FOCUS ANCILLARIES CALC" sheetId="15" state="hidden" r:id="rId4"/>
    <sheet name="FIBRE BUDGET CALC" sheetId="30" state="hidden" r:id="rId5"/>
    <sheet name="AERIAL REQUIREMENTS" sheetId="33" state="hidden" r:id="rId6"/>
    <sheet name="SPLICE PLAN" sheetId="31" state="hidden" r:id="rId7"/>
    <sheet name="ROUTE INFO" sheetId="10" r:id="rId8"/>
    <sheet name="OSP-ISP PLAN" sheetId="12" r:id="rId9"/>
    <sheet name="WAYLEAVE APPROVAL" sheetId="14" r:id="rId10"/>
    <sheet name="CCTV ANALYSIS" sheetId="13" r:id="rId11"/>
    <sheet name="PRE-CCTV MAP" sheetId="16" r:id="rId12"/>
    <sheet name="CIVIL SI" sheetId="17" r:id="rId13"/>
    <sheet name="JETTING SI" sheetId="18" r:id="rId14"/>
    <sheet name="DRILLING SI" sheetId="19" r:id="rId15"/>
    <sheet name="REINSTATEMENT SI" sheetId="20" r:id="rId16"/>
    <sheet name="FLOATING SI" sheetId="21" r:id="rId17"/>
    <sheet name="FOCUS SI" sheetId="27" r:id="rId18"/>
    <sheet name="SPLICING SI" sheetId="24" r:id="rId19"/>
    <sheet name="Master BOQ Pricing_2018-01-08" sheetId="25" state="hidden" r:id="rId20"/>
    <sheet name="Network Types" sheetId="32" state="hidden" r:id="rId21"/>
  </sheets>
  <definedNames>
    <definedName name="_xlnm._FilterDatabase" localSheetId="12" hidden="1">'CIVIL SI'!$B$12:$Z$12</definedName>
    <definedName name="_xlnm._FilterDatabase" localSheetId="14" hidden="1">'DRILLING SI'!$B$12:$Z$12</definedName>
    <definedName name="_xlnm._FilterDatabase" localSheetId="16" hidden="1">'FLOATING SI'!$B$12:$Z$12</definedName>
    <definedName name="_xlnm._FilterDatabase" localSheetId="17" hidden="1">'FOCUS SI'!$B$12:$Z$12</definedName>
    <definedName name="_xlnm._FilterDatabase" localSheetId="1" hidden="1">'Infra Build BOQ'!$B$13:$AL$246</definedName>
    <definedName name="_xlnm._FilterDatabase" localSheetId="13" hidden="1">'JETTING SI'!$B$12:$Z$12</definedName>
    <definedName name="_xlnm._FilterDatabase" localSheetId="19" hidden="1">'Master BOQ Pricing_2018-01-08'!$A$1:$E$235</definedName>
    <definedName name="_xlnm._FilterDatabase" localSheetId="2" hidden="1">'MATERIAL REQUEST'!$B$8:$W$275</definedName>
    <definedName name="_xlnm._FilterDatabase" localSheetId="15" hidden="1">'REINSTATEMENT SI'!$B$12:$Z$12</definedName>
    <definedName name="_xlnm._FilterDatabase" localSheetId="7" hidden="1">'ROUTE INFO'!$A$1:$S$1</definedName>
    <definedName name="_Hlk39043644" localSheetId="19">'Network Types'!$C$2</definedName>
    <definedName name="_Hlk39043669" localSheetId="19">'Network Types'!$D$2</definedName>
    <definedName name="eurzar" localSheetId="19">#REF!</definedName>
    <definedName name="eurzar">#REF!</definedName>
  </definedNames>
  <calcPr calcId="191029"/>
  <pivotCaches>
    <pivotCache cacheId="88" r:id="rId22"/>
    <pivotCache cacheId="91" r:id="rId23"/>
    <pivotCache cacheId="94" r:id="rId24"/>
    <pivotCache cacheId="99" r:id="rId2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5" i="17" l="1"/>
  <c r="C45" i="17"/>
  <c r="D45" i="17"/>
  <c r="E45" i="17"/>
  <c r="F45" i="17"/>
  <c r="H45" i="17"/>
  <c r="K45" i="17"/>
  <c r="L45" i="17"/>
  <c r="O45" i="17"/>
  <c r="P45" i="17"/>
  <c r="S45" i="17"/>
  <c r="T45" i="17"/>
  <c r="W45" i="17"/>
  <c r="X45" i="17"/>
  <c r="Z45" i="17"/>
  <c r="U46" i="9"/>
  <c r="V46" i="9" s="1"/>
  <c r="J45" i="17" s="1"/>
  <c r="AK46" i="9"/>
  <c r="Y45" i="17" s="1"/>
  <c r="B46" i="9"/>
  <c r="C46" i="9"/>
  <c r="D46" i="9"/>
  <c r="E46" i="9"/>
  <c r="G46" i="9" s="1"/>
  <c r="G45" i="17" s="1"/>
  <c r="I46" i="25"/>
  <c r="I47" i="25"/>
  <c r="I45" i="25"/>
  <c r="I44" i="25"/>
  <c r="I45" i="17" l="1"/>
  <c r="Y46" i="9"/>
  <c r="M45" i="17" s="1"/>
  <c r="Z46" i="9" l="1"/>
  <c r="N45" i="17" s="1"/>
  <c r="AC46" i="9"/>
  <c r="Q45" i="17" s="1"/>
  <c r="AG46" i="9" l="1"/>
  <c r="AD46" i="9"/>
  <c r="R45" i="17" s="1"/>
  <c r="AH46" i="9" l="1"/>
  <c r="V45" i="17" s="1"/>
  <c r="U45" i="17"/>
  <c r="G56" i="25" l="1"/>
  <c r="H56" i="25"/>
  <c r="I48" i="25"/>
  <c r="G46" i="25"/>
  <c r="G45" i="25"/>
  <c r="B44" i="17"/>
  <c r="C44" i="17"/>
  <c r="D44" i="17"/>
  <c r="E44" i="17"/>
  <c r="F44" i="17"/>
  <c r="H44" i="17"/>
  <c r="K44" i="17"/>
  <c r="L44" i="17"/>
  <c r="O44" i="17"/>
  <c r="P44" i="17"/>
  <c r="S44" i="17"/>
  <c r="T44" i="17"/>
  <c r="W44" i="17"/>
  <c r="X44" i="17"/>
  <c r="Z44" i="17"/>
  <c r="U45" i="9"/>
  <c r="B45" i="9"/>
  <c r="C45" i="9"/>
  <c r="D45" i="9"/>
  <c r="E45" i="9"/>
  <c r="AK45" i="9" s="1"/>
  <c r="Y44" i="17" s="1"/>
  <c r="C54" i="22"/>
  <c r="V45" i="9" l="1"/>
  <c r="J44" i="17" s="1"/>
  <c r="G45" i="9"/>
  <c r="G44" i="17" s="1"/>
  <c r="I44" i="17"/>
  <c r="Y45" i="9"/>
  <c r="M44" i="17" s="1"/>
  <c r="E245" i="9"/>
  <c r="C26" i="10"/>
  <c r="F267" i="23" s="1"/>
  <c r="I53" i="10"/>
  <c r="I29" i="10"/>
  <c r="I32" i="10"/>
  <c r="I46" i="10"/>
  <c r="I54" i="10"/>
  <c r="I31" i="10"/>
  <c r="I30" i="10"/>
  <c r="I55" i="10"/>
  <c r="F45" i="23" l="1"/>
  <c r="Z45" i="9"/>
  <c r="N44" i="17" s="1"/>
  <c r="AC45" i="9"/>
  <c r="Q44" i="17" s="1"/>
  <c r="F269" i="23"/>
  <c r="F270" i="23"/>
  <c r="F268" i="23"/>
  <c r="F263" i="23"/>
  <c r="F264" i="23"/>
  <c r="F265" i="23"/>
  <c r="I17" i="22"/>
  <c r="C63" i="22"/>
  <c r="C64" i="22" s="1"/>
  <c r="C51" i="22"/>
  <c r="I44" i="22"/>
  <c r="I38" i="22"/>
  <c r="F44" i="22"/>
  <c r="F45" i="22" s="1"/>
  <c r="F38" i="22"/>
  <c r="F35" i="22"/>
  <c r="C44" i="22"/>
  <c r="C38" i="22"/>
  <c r="C35" i="22"/>
  <c r="B197" i="17"/>
  <c r="C197" i="17"/>
  <c r="D197" i="17"/>
  <c r="E197" i="17"/>
  <c r="F197" i="17"/>
  <c r="H197" i="17"/>
  <c r="K197" i="17"/>
  <c r="L197" i="17"/>
  <c r="O197" i="17"/>
  <c r="P197" i="17"/>
  <c r="S197" i="17"/>
  <c r="T197" i="17"/>
  <c r="W197" i="17"/>
  <c r="X197" i="17"/>
  <c r="Z197" i="17"/>
  <c r="B198" i="17"/>
  <c r="C198" i="17"/>
  <c r="D198" i="17"/>
  <c r="E198" i="17"/>
  <c r="F198" i="17"/>
  <c r="H198" i="17"/>
  <c r="K198" i="17"/>
  <c r="L198" i="17"/>
  <c r="O198" i="17"/>
  <c r="P198" i="17"/>
  <c r="S198" i="17"/>
  <c r="T198" i="17"/>
  <c r="W198" i="17"/>
  <c r="X198" i="17"/>
  <c r="Z198" i="17"/>
  <c r="B244" i="9"/>
  <c r="C244" i="9"/>
  <c r="D244" i="9"/>
  <c r="G244" i="9"/>
  <c r="G197" i="17" s="1"/>
  <c r="U244" i="9"/>
  <c r="V244" i="9" s="1"/>
  <c r="J197" i="17" s="1"/>
  <c r="AK244" i="9"/>
  <c r="Y197" i="17" s="1"/>
  <c r="B245" i="9"/>
  <c r="C245" i="9"/>
  <c r="D245" i="9"/>
  <c r="G245" i="9"/>
  <c r="U245" i="9"/>
  <c r="I198" i="17" s="1"/>
  <c r="AK245" i="9"/>
  <c r="Y198" i="17" s="1"/>
  <c r="I60" i="10"/>
  <c r="I59" i="10"/>
  <c r="I58" i="10"/>
  <c r="F48" i="10"/>
  <c r="AD45" i="9" l="1"/>
  <c r="R44" i="17" s="1"/>
  <c r="AG45" i="9"/>
  <c r="I197" i="17"/>
  <c r="Y244" i="9"/>
  <c r="AC244" i="9" s="1"/>
  <c r="Q197" i="17" s="1"/>
  <c r="C45" i="22"/>
  <c r="G198" i="17"/>
  <c r="Y245" i="9"/>
  <c r="V245" i="9"/>
  <c r="J198" i="17" s="1"/>
  <c r="AH45" i="9" l="1"/>
  <c r="V44" i="17" s="1"/>
  <c r="U44" i="17"/>
  <c r="Z244" i="9"/>
  <c r="N197" i="17" s="1"/>
  <c r="M197" i="17"/>
  <c r="Z245" i="9"/>
  <c r="N198" i="17" s="1"/>
  <c r="M198" i="17"/>
  <c r="AC245" i="9"/>
  <c r="AD244" i="9"/>
  <c r="R197" i="17" s="1"/>
  <c r="AG244" i="9"/>
  <c r="AH244" i="9" l="1"/>
  <c r="V197" i="17" s="1"/>
  <c r="U197" i="17"/>
  <c r="AD245" i="9"/>
  <c r="R198" i="17" s="1"/>
  <c r="Q198" i="17"/>
  <c r="AG245" i="9"/>
  <c r="L86" i="9"/>
  <c r="U198" i="17" l="1"/>
  <c r="AH245" i="9"/>
  <c r="V198" i="17" s="1"/>
  <c r="H228" i="23"/>
  <c r="H267" i="23"/>
  <c r="J267" i="23"/>
  <c r="K267" i="23" s="1"/>
  <c r="H268" i="23"/>
  <c r="J268" i="23"/>
  <c r="K268" i="23" s="1"/>
  <c r="G42" i="25"/>
  <c r="U20" i="9"/>
  <c r="U21" i="9"/>
  <c r="U22" i="9"/>
  <c r="U23" i="9"/>
  <c r="Y23" i="9" s="1"/>
  <c r="AC23" i="9" s="1"/>
  <c r="U24" i="9"/>
  <c r="I23" i="17" s="1"/>
  <c r="U25" i="9"/>
  <c r="Y25" i="9" s="1"/>
  <c r="U26" i="9"/>
  <c r="Y26" i="9" s="1"/>
  <c r="U27" i="9"/>
  <c r="Y27" i="9" s="1"/>
  <c r="M26" i="17" s="1"/>
  <c r="U28" i="9"/>
  <c r="I27" i="17" s="1"/>
  <c r="U29" i="9"/>
  <c r="U30" i="9"/>
  <c r="U31" i="9"/>
  <c r="I30" i="17" s="1"/>
  <c r="U32" i="9"/>
  <c r="Y32" i="9"/>
  <c r="AC32" i="9" s="1"/>
  <c r="U33" i="9"/>
  <c r="Y33" i="9" s="1"/>
  <c r="U34" i="9"/>
  <c r="Y34" i="9" s="1"/>
  <c r="U35" i="9"/>
  <c r="Y35" i="9" s="1"/>
  <c r="U36" i="9"/>
  <c r="U37" i="9"/>
  <c r="U38" i="9"/>
  <c r="I37" i="17" s="1"/>
  <c r="U39" i="9"/>
  <c r="Y39" i="9" s="1"/>
  <c r="U40" i="9"/>
  <c r="Y40" i="9" s="1"/>
  <c r="AC40" i="9" s="1"/>
  <c r="U41" i="9"/>
  <c r="Y41" i="9" s="1"/>
  <c r="U42" i="9"/>
  <c r="Y42" i="9" s="1"/>
  <c r="U43" i="9"/>
  <c r="Y43" i="9" s="1"/>
  <c r="AC43" i="9" s="1"/>
  <c r="U44" i="9"/>
  <c r="U47" i="9"/>
  <c r="Y47" i="9" s="1"/>
  <c r="U48" i="9"/>
  <c r="I47" i="17" s="1"/>
  <c r="U49" i="9"/>
  <c r="Y49" i="9" s="1"/>
  <c r="AC49" i="9" s="1"/>
  <c r="U50" i="9"/>
  <c r="Y50" i="9" s="1"/>
  <c r="AC50" i="9" s="1"/>
  <c r="U51" i="9"/>
  <c r="Y51" i="9" s="1"/>
  <c r="U52" i="9"/>
  <c r="Y52" i="9" s="1"/>
  <c r="U53" i="9"/>
  <c r="Y53" i="9" s="1"/>
  <c r="AC53" i="9" s="1"/>
  <c r="U54" i="9"/>
  <c r="U55" i="9"/>
  <c r="Y55" i="9" s="1"/>
  <c r="U56" i="9"/>
  <c r="F43" i="17"/>
  <c r="H43" i="17"/>
  <c r="K43" i="17"/>
  <c r="L43" i="17"/>
  <c r="O43" i="17"/>
  <c r="P43" i="17"/>
  <c r="S43" i="17"/>
  <c r="T43" i="17"/>
  <c r="W43" i="17"/>
  <c r="X43" i="17"/>
  <c r="Z43" i="17"/>
  <c r="F46" i="17"/>
  <c r="H46" i="17"/>
  <c r="K46" i="17"/>
  <c r="L46" i="17"/>
  <c r="O46" i="17"/>
  <c r="P46" i="17"/>
  <c r="S46" i="17"/>
  <c r="T46" i="17"/>
  <c r="W46" i="17"/>
  <c r="X46" i="17"/>
  <c r="Z46" i="17"/>
  <c r="F47" i="17"/>
  <c r="H47" i="17"/>
  <c r="K47" i="17"/>
  <c r="L47" i="17"/>
  <c r="O47" i="17"/>
  <c r="P47" i="17"/>
  <c r="S47" i="17"/>
  <c r="T47" i="17"/>
  <c r="W47" i="17"/>
  <c r="X47" i="17"/>
  <c r="Z47" i="17"/>
  <c r="F48" i="17"/>
  <c r="H48" i="17"/>
  <c r="K48" i="17"/>
  <c r="L48" i="17"/>
  <c r="O48" i="17"/>
  <c r="P48" i="17"/>
  <c r="S48" i="17"/>
  <c r="T48" i="17"/>
  <c r="W48" i="17"/>
  <c r="X48" i="17"/>
  <c r="Z48" i="17"/>
  <c r="F49" i="17"/>
  <c r="H49" i="17"/>
  <c r="K49" i="17"/>
  <c r="L49" i="17"/>
  <c r="O49" i="17"/>
  <c r="P49" i="17"/>
  <c r="S49" i="17"/>
  <c r="T49" i="17"/>
  <c r="W49" i="17"/>
  <c r="X49" i="17"/>
  <c r="Z49" i="17"/>
  <c r="F50" i="17"/>
  <c r="H50" i="17"/>
  <c r="K50" i="17"/>
  <c r="L50" i="17"/>
  <c r="O50" i="17"/>
  <c r="P50" i="17"/>
  <c r="S50" i="17"/>
  <c r="T50" i="17"/>
  <c r="W50" i="17"/>
  <c r="X50" i="17"/>
  <c r="Z50" i="17"/>
  <c r="F51" i="17"/>
  <c r="H51" i="17"/>
  <c r="K51" i="17"/>
  <c r="L51" i="17"/>
  <c r="O51" i="17"/>
  <c r="P51" i="17"/>
  <c r="S51" i="17"/>
  <c r="T51" i="17"/>
  <c r="W51" i="17"/>
  <c r="X51" i="17"/>
  <c r="Z51" i="17"/>
  <c r="F52" i="17"/>
  <c r="H52" i="17"/>
  <c r="K52" i="17"/>
  <c r="L52" i="17"/>
  <c r="O52" i="17"/>
  <c r="P52" i="17"/>
  <c r="S52" i="17"/>
  <c r="T52" i="17"/>
  <c r="W52" i="17"/>
  <c r="X52" i="17"/>
  <c r="Z52" i="17"/>
  <c r="F53" i="17"/>
  <c r="H53" i="17"/>
  <c r="K53" i="17"/>
  <c r="L53" i="17"/>
  <c r="O53" i="17"/>
  <c r="P53" i="17"/>
  <c r="S53" i="17"/>
  <c r="T53" i="17"/>
  <c r="W53" i="17"/>
  <c r="X53" i="17"/>
  <c r="Z53" i="17"/>
  <c r="F54" i="17"/>
  <c r="H54" i="17"/>
  <c r="K54" i="17"/>
  <c r="L54" i="17"/>
  <c r="O54" i="17"/>
  <c r="P54" i="17"/>
  <c r="S54" i="17"/>
  <c r="T54" i="17"/>
  <c r="W54" i="17"/>
  <c r="X54" i="17"/>
  <c r="Z54" i="17"/>
  <c r="F55" i="17"/>
  <c r="H55" i="17"/>
  <c r="K55" i="17"/>
  <c r="L55" i="17"/>
  <c r="O55" i="17"/>
  <c r="P55" i="17"/>
  <c r="S55" i="17"/>
  <c r="T55" i="17"/>
  <c r="W55" i="17"/>
  <c r="X55" i="17"/>
  <c r="Z55" i="17"/>
  <c r="F30" i="17"/>
  <c r="H30" i="17"/>
  <c r="K30" i="17"/>
  <c r="L30" i="17"/>
  <c r="O30" i="17"/>
  <c r="P30" i="17"/>
  <c r="S30" i="17"/>
  <c r="T30" i="17"/>
  <c r="W30" i="17"/>
  <c r="X30" i="17"/>
  <c r="Z30" i="17"/>
  <c r="F31" i="17"/>
  <c r="H31" i="17"/>
  <c r="K31" i="17"/>
  <c r="L31" i="17"/>
  <c r="O31" i="17"/>
  <c r="P31" i="17"/>
  <c r="S31" i="17"/>
  <c r="T31" i="17"/>
  <c r="W31" i="17"/>
  <c r="X31" i="17"/>
  <c r="Z31" i="17"/>
  <c r="F32" i="17"/>
  <c r="H32" i="17"/>
  <c r="K32" i="17"/>
  <c r="L32" i="17"/>
  <c r="O32" i="17"/>
  <c r="P32" i="17"/>
  <c r="S32" i="17"/>
  <c r="T32" i="17"/>
  <c r="W32" i="17"/>
  <c r="X32" i="17"/>
  <c r="Z32" i="17"/>
  <c r="F33" i="17"/>
  <c r="H33" i="17"/>
  <c r="K33" i="17"/>
  <c r="L33" i="17"/>
  <c r="O33" i="17"/>
  <c r="P33" i="17"/>
  <c r="S33" i="17"/>
  <c r="T33" i="17"/>
  <c r="W33" i="17"/>
  <c r="X33" i="17"/>
  <c r="Z33" i="17"/>
  <c r="F34" i="17"/>
  <c r="H34" i="17"/>
  <c r="K34" i="17"/>
  <c r="L34" i="17"/>
  <c r="O34" i="17"/>
  <c r="P34" i="17"/>
  <c r="S34" i="17"/>
  <c r="T34" i="17"/>
  <c r="W34" i="17"/>
  <c r="X34" i="17"/>
  <c r="Z34" i="17"/>
  <c r="F35" i="17"/>
  <c r="H35" i="17"/>
  <c r="K35" i="17"/>
  <c r="L35" i="17"/>
  <c r="O35" i="17"/>
  <c r="P35" i="17"/>
  <c r="S35" i="17"/>
  <c r="T35" i="17"/>
  <c r="W35" i="17"/>
  <c r="X35" i="17"/>
  <c r="Z35" i="17"/>
  <c r="F36" i="17"/>
  <c r="H36" i="17"/>
  <c r="K36" i="17"/>
  <c r="L36" i="17"/>
  <c r="O36" i="17"/>
  <c r="P36" i="17"/>
  <c r="S36" i="17"/>
  <c r="T36" i="17"/>
  <c r="W36" i="17"/>
  <c r="X36" i="17"/>
  <c r="Z36" i="17"/>
  <c r="F37" i="17"/>
  <c r="H37" i="17"/>
  <c r="K37" i="17"/>
  <c r="L37" i="17"/>
  <c r="O37" i="17"/>
  <c r="P37" i="17"/>
  <c r="S37" i="17"/>
  <c r="T37" i="17"/>
  <c r="W37" i="17"/>
  <c r="X37" i="17"/>
  <c r="Z37" i="17"/>
  <c r="F38" i="17"/>
  <c r="H38" i="17"/>
  <c r="K38" i="17"/>
  <c r="L38" i="17"/>
  <c r="O38" i="17"/>
  <c r="P38" i="17"/>
  <c r="S38" i="17"/>
  <c r="T38" i="17"/>
  <c r="W38" i="17"/>
  <c r="X38" i="17"/>
  <c r="Z38" i="17"/>
  <c r="F39" i="17"/>
  <c r="H39" i="17"/>
  <c r="K39" i="17"/>
  <c r="L39" i="17"/>
  <c r="O39" i="17"/>
  <c r="P39" i="17"/>
  <c r="S39" i="17"/>
  <c r="T39" i="17"/>
  <c r="W39" i="17"/>
  <c r="X39" i="17"/>
  <c r="Z39" i="17"/>
  <c r="F40" i="17"/>
  <c r="H40" i="17"/>
  <c r="K40" i="17"/>
  <c r="L40" i="17"/>
  <c r="O40" i="17"/>
  <c r="P40" i="17"/>
  <c r="S40" i="17"/>
  <c r="T40" i="17"/>
  <c r="W40" i="17"/>
  <c r="X40" i="17"/>
  <c r="Z40" i="17"/>
  <c r="F41" i="17"/>
  <c r="H41" i="17"/>
  <c r="K41" i="17"/>
  <c r="L41" i="17"/>
  <c r="O41" i="17"/>
  <c r="P41" i="17"/>
  <c r="S41" i="17"/>
  <c r="T41" i="17"/>
  <c r="W41" i="17"/>
  <c r="X41" i="17"/>
  <c r="Z41" i="17"/>
  <c r="F42" i="17"/>
  <c r="H42" i="17"/>
  <c r="K42" i="17"/>
  <c r="L42" i="17"/>
  <c r="O42" i="17"/>
  <c r="P42" i="17"/>
  <c r="S42" i="17"/>
  <c r="T42" i="17"/>
  <c r="W42" i="17"/>
  <c r="X42" i="17"/>
  <c r="Z42" i="17"/>
  <c r="B46" i="17"/>
  <c r="C46" i="17"/>
  <c r="D46" i="17"/>
  <c r="E46" i="17"/>
  <c r="B47" i="17"/>
  <c r="C47" i="17"/>
  <c r="D47" i="17"/>
  <c r="E47" i="17"/>
  <c r="B48" i="17"/>
  <c r="C48" i="17"/>
  <c r="D48" i="17"/>
  <c r="E48" i="17"/>
  <c r="B42" i="17"/>
  <c r="C42" i="17"/>
  <c r="D42" i="17"/>
  <c r="E42" i="17"/>
  <c r="B43" i="17"/>
  <c r="C43" i="17"/>
  <c r="D43" i="17"/>
  <c r="E43" i="17"/>
  <c r="B39" i="17"/>
  <c r="C39" i="17"/>
  <c r="D39" i="17"/>
  <c r="E39" i="17"/>
  <c r="B40" i="17"/>
  <c r="C40" i="17"/>
  <c r="D40" i="17"/>
  <c r="E40" i="17"/>
  <c r="B41" i="17"/>
  <c r="C41" i="17"/>
  <c r="D41" i="17"/>
  <c r="E41" i="17"/>
  <c r="B37" i="17"/>
  <c r="C37" i="17"/>
  <c r="D37" i="17"/>
  <c r="E37" i="17"/>
  <c r="B38" i="17"/>
  <c r="C38" i="17"/>
  <c r="D38" i="17"/>
  <c r="E38" i="17"/>
  <c r="B31" i="17"/>
  <c r="C31" i="17"/>
  <c r="D31" i="17"/>
  <c r="E31" i="17"/>
  <c r="B32" i="17"/>
  <c r="C32" i="17"/>
  <c r="D32" i="17"/>
  <c r="E32" i="17"/>
  <c r="B33" i="17"/>
  <c r="C33" i="17"/>
  <c r="D33" i="17"/>
  <c r="E33" i="17"/>
  <c r="B34" i="17"/>
  <c r="C34" i="17"/>
  <c r="D34" i="17"/>
  <c r="E34" i="17"/>
  <c r="B25" i="17"/>
  <c r="C25" i="17"/>
  <c r="D25" i="17"/>
  <c r="E25" i="17"/>
  <c r="F25" i="17"/>
  <c r="H25" i="17"/>
  <c r="K25" i="17"/>
  <c r="L25" i="17"/>
  <c r="O25" i="17"/>
  <c r="P25" i="17"/>
  <c r="S25" i="17"/>
  <c r="T25" i="17"/>
  <c r="W25" i="17"/>
  <c r="X25" i="17"/>
  <c r="Z25" i="17"/>
  <c r="B26" i="17"/>
  <c r="C26" i="17"/>
  <c r="D26" i="17"/>
  <c r="E26" i="17"/>
  <c r="F26" i="17"/>
  <c r="H26" i="17"/>
  <c r="K26" i="17"/>
  <c r="L26" i="17"/>
  <c r="O26" i="17"/>
  <c r="P26" i="17"/>
  <c r="S26" i="17"/>
  <c r="T26" i="17"/>
  <c r="W26" i="17"/>
  <c r="X26" i="17"/>
  <c r="Z26" i="17"/>
  <c r="B27" i="17"/>
  <c r="C27" i="17"/>
  <c r="D27" i="17"/>
  <c r="E27" i="17"/>
  <c r="F27" i="17"/>
  <c r="H27" i="17"/>
  <c r="K27" i="17"/>
  <c r="L27" i="17"/>
  <c r="O27" i="17"/>
  <c r="P27" i="17"/>
  <c r="S27" i="17"/>
  <c r="T27" i="17"/>
  <c r="W27" i="17"/>
  <c r="X27" i="17"/>
  <c r="Z27" i="17"/>
  <c r="B28" i="17"/>
  <c r="C28" i="17"/>
  <c r="D28" i="17"/>
  <c r="E28" i="17"/>
  <c r="F28" i="17"/>
  <c r="H28" i="17"/>
  <c r="K28" i="17"/>
  <c r="L28" i="17"/>
  <c r="O28" i="17"/>
  <c r="P28" i="17"/>
  <c r="S28" i="17"/>
  <c r="T28" i="17"/>
  <c r="W28" i="17"/>
  <c r="X28" i="17"/>
  <c r="Z28" i="17"/>
  <c r="B29" i="17"/>
  <c r="C29" i="17"/>
  <c r="D29" i="17"/>
  <c r="E29" i="17"/>
  <c r="F29" i="17"/>
  <c r="H29" i="17"/>
  <c r="K29" i="17"/>
  <c r="L29" i="17"/>
  <c r="O29" i="17"/>
  <c r="P29" i="17"/>
  <c r="S29" i="17"/>
  <c r="T29" i="17"/>
  <c r="W29" i="17"/>
  <c r="X29" i="17"/>
  <c r="Z29" i="17"/>
  <c r="B21" i="17"/>
  <c r="C21" i="17"/>
  <c r="D21" i="17"/>
  <c r="E21" i="17"/>
  <c r="F21" i="17"/>
  <c r="H21" i="17"/>
  <c r="K21" i="17"/>
  <c r="L21" i="17"/>
  <c r="O21" i="17"/>
  <c r="P21" i="17"/>
  <c r="S21" i="17"/>
  <c r="T21" i="17"/>
  <c r="W21" i="17"/>
  <c r="X21" i="17"/>
  <c r="Z21" i="17"/>
  <c r="B22" i="17"/>
  <c r="C22" i="17"/>
  <c r="D22" i="17"/>
  <c r="E22" i="17"/>
  <c r="F22" i="17"/>
  <c r="H22" i="17"/>
  <c r="K22" i="17"/>
  <c r="L22" i="17"/>
  <c r="O22" i="17"/>
  <c r="P22" i="17"/>
  <c r="S22" i="17"/>
  <c r="T22" i="17"/>
  <c r="W22" i="17"/>
  <c r="X22" i="17"/>
  <c r="Z22" i="17"/>
  <c r="B23" i="17"/>
  <c r="C23" i="17"/>
  <c r="D23" i="17"/>
  <c r="E23" i="17"/>
  <c r="F23" i="17"/>
  <c r="H23" i="17"/>
  <c r="K23" i="17"/>
  <c r="L23" i="17"/>
  <c r="O23" i="17"/>
  <c r="P23" i="17"/>
  <c r="S23" i="17"/>
  <c r="T23" i="17"/>
  <c r="W23" i="17"/>
  <c r="X23" i="17"/>
  <c r="Z23" i="17"/>
  <c r="B24" i="17"/>
  <c r="C24" i="17"/>
  <c r="D24" i="17"/>
  <c r="E24" i="17"/>
  <c r="F24" i="17"/>
  <c r="H24" i="17"/>
  <c r="K24" i="17"/>
  <c r="L24" i="17"/>
  <c r="O24" i="17"/>
  <c r="P24" i="17"/>
  <c r="S24" i="17"/>
  <c r="T24" i="17"/>
  <c r="W24" i="17"/>
  <c r="X24" i="17"/>
  <c r="Z24" i="17"/>
  <c r="B19" i="17"/>
  <c r="C19" i="17"/>
  <c r="D19" i="17"/>
  <c r="E19" i="17"/>
  <c r="F19" i="17"/>
  <c r="H19" i="17"/>
  <c r="K19" i="17"/>
  <c r="L19" i="17"/>
  <c r="O19" i="17"/>
  <c r="P19" i="17"/>
  <c r="S19" i="17"/>
  <c r="T19" i="17"/>
  <c r="W19" i="17"/>
  <c r="X19" i="17"/>
  <c r="Z19" i="17"/>
  <c r="B20" i="17"/>
  <c r="C20" i="17"/>
  <c r="D20" i="17"/>
  <c r="E20" i="17"/>
  <c r="F20" i="17"/>
  <c r="H20" i="17"/>
  <c r="K20" i="17"/>
  <c r="L20" i="17"/>
  <c r="O20" i="17"/>
  <c r="P20" i="17"/>
  <c r="S20" i="17"/>
  <c r="T20" i="17"/>
  <c r="W20" i="17"/>
  <c r="X20" i="17"/>
  <c r="Z20" i="17"/>
  <c r="B44" i="9"/>
  <c r="C44" i="9"/>
  <c r="D44" i="9"/>
  <c r="E44" i="9"/>
  <c r="G44" i="9" s="1"/>
  <c r="G43" i="17" s="1"/>
  <c r="B47" i="9"/>
  <c r="C47" i="9"/>
  <c r="D47" i="9"/>
  <c r="E47" i="9"/>
  <c r="G47" i="9" s="1"/>
  <c r="G46" i="17" s="1"/>
  <c r="B48" i="9"/>
  <c r="C48" i="9"/>
  <c r="D48" i="9"/>
  <c r="E48" i="9"/>
  <c r="AK48" i="9" s="1"/>
  <c r="Y47" i="17" s="1"/>
  <c r="G48" i="9"/>
  <c r="G47" i="17" s="1"/>
  <c r="B49" i="9"/>
  <c r="C49" i="9"/>
  <c r="D49" i="9"/>
  <c r="E49" i="9"/>
  <c r="B50" i="9"/>
  <c r="C50" i="9"/>
  <c r="D50" i="9"/>
  <c r="E50" i="9"/>
  <c r="G50" i="9" s="1"/>
  <c r="G49" i="17" s="1"/>
  <c r="B51" i="9"/>
  <c r="C51" i="9"/>
  <c r="D51" i="9"/>
  <c r="E51" i="9"/>
  <c r="G51" i="9" s="1"/>
  <c r="G50" i="17" s="1"/>
  <c r="B52" i="9"/>
  <c r="C52" i="9"/>
  <c r="D52" i="9"/>
  <c r="E52" i="9"/>
  <c r="G52" i="9" s="1"/>
  <c r="G51" i="17" s="1"/>
  <c r="B53" i="9"/>
  <c r="C53" i="9"/>
  <c r="D53" i="9"/>
  <c r="E53" i="9"/>
  <c r="B38" i="9"/>
  <c r="C38" i="9"/>
  <c r="D38" i="9"/>
  <c r="E38" i="9"/>
  <c r="G38" i="9" s="1"/>
  <c r="G37" i="17" s="1"/>
  <c r="B39" i="9"/>
  <c r="C39" i="9"/>
  <c r="D39" i="9"/>
  <c r="E39" i="9"/>
  <c r="B40" i="9"/>
  <c r="C40" i="9"/>
  <c r="D40" i="9"/>
  <c r="E40" i="9"/>
  <c r="V40" i="9" s="1"/>
  <c r="B41" i="9"/>
  <c r="C41" i="9"/>
  <c r="D41" i="9"/>
  <c r="E41" i="9"/>
  <c r="G41" i="9" s="1"/>
  <c r="G40" i="17" s="1"/>
  <c r="B42" i="9"/>
  <c r="C42" i="9"/>
  <c r="D42" i="9"/>
  <c r="E42" i="9"/>
  <c r="G42" i="9" s="1"/>
  <c r="G41" i="17" s="1"/>
  <c r="B43" i="9"/>
  <c r="C43" i="9"/>
  <c r="D43" i="9"/>
  <c r="E43" i="9"/>
  <c r="B30" i="9"/>
  <c r="C30" i="9"/>
  <c r="D30" i="9"/>
  <c r="E30" i="9"/>
  <c r="G30" i="9" s="1"/>
  <c r="G29" i="17" s="1"/>
  <c r="B31" i="9"/>
  <c r="C31" i="9"/>
  <c r="D31" i="9"/>
  <c r="E31" i="9"/>
  <c r="G31" i="9" s="1"/>
  <c r="G30" i="17" s="1"/>
  <c r="B32" i="9"/>
  <c r="C32" i="9"/>
  <c r="D32" i="9"/>
  <c r="E32" i="9"/>
  <c r="G32" i="9" s="1"/>
  <c r="G31" i="17" s="1"/>
  <c r="B33" i="9"/>
  <c r="C33" i="9"/>
  <c r="D33" i="9"/>
  <c r="E33" i="9"/>
  <c r="B34" i="9"/>
  <c r="C34" i="9"/>
  <c r="D34" i="9"/>
  <c r="E34" i="9"/>
  <c r="G34" i="9" s="1"/>
  <c r="G33" i="17" s="1"/>
  <c r="B35" i="9"/>
  <c r="C35" i="9"/>
  <c r="D35" i="9"/>
  <c r="E35" i="9"/>
  <c r="B36" i="9"/>
  <c r="C36" i="9"/>
  <c r="D36" i="9"/>
  <c r="E36" i="9"/>
  <c r="AK36" i="9" s="1"/>
  <c r="Y35" i="17" s="1"/>
  <c r="B37" i="9"/>
  <c r="C37" i="9"/>
  <c r="D37" i="9"/>
  <c r="E37" i="9"/>
  <c r="AK37" i="9" s="1"/>
  <c r="Y36" i="17" s="1"/>
  <c r="B23" i="9"/>
  <c r="C23" i="9"/>
  <c r="D23" i="9"/>
  <c r="E23" i="9"/>
  <c r="G23" i="9" s="1"/>
  <c r="G22" i="17" s="1"/>
  <c r="B24" i="9"/>
  <c r="C24" i="9"/>
  <c r="D24" i="9"/>
  <c r="E24" i="9"/>
  <c r="G24" i="9" s="1"/>
  <c r="G23" i="17" s="1"/>
  <c r="B25" i="9"/>
  <c r="C25" i="9"/>
  <c r="D25" i="9"/>
  <c r="E25" i="9"/>
  <c r="AK25" i="9" s="1"/>
  <c r="Y24" i="17" s="1"/>
  <c r="B26" i="9"/>
  <c r="C26" i="9"/>
  <c r="D26" i="9"/>
  <c r="E26" i="9"/>
  <c r="AK26" i="9" s="1"/>
  <c r="Y25" i="17" s="1"/>
  <c r="B27" i="9"/>
  <c r="C27" i="9"/>
  <c r="D27" i="9"/>
  <c r="E27" i="9"/>
  <c r="G27" i="9" s="1"/>
  <c r="G26" i="17" s="1"/>
  <c r="B28" i="9"/>
  <c r="C28" i="9"/>
  <c r="D28" i="9"/>
  <c r="E28" i="9"/>
  <c r="G28" i="9" s="1"/>
  <c r="G27" i="17" s="1"/>
  <c r="B29" i="9"/>
  <c r="C29" i="9"/>
  <c r="D29" i="9"/>
  <c r="E29" i="9"/>
  <c r="G29" i="9" s="1"/>
  <c r="G28" i="17" s="1"/>
  <c r="I28" i="17"/>
  <c r="B20" i="9"/>
  <c r="C20" i="9"/>
  <c r="D20" i="9"/>
  <c r="E20" i="9"/>
  <c r="G20" i="9" s="1"/>
  <c r="G19" i="17" s="1"/>
  <c r="B21" i="9"/>
  <c r="C21" i="9"/>
  <c r="D21" i="9"/>
  <c r="E21" i="9"/>
  <c r="G21" i="9" s="1"/>
  <c r="G20" i="17" s="1"/>
  <c r="G34" i="25"/>
  <c r="G33" i="25"/>
  <c r="H33" i="25" s="1"/>
  <c r="G40" i="25"/>
  <c r="G44" i="25"/>
  <c r="G43" i="25"/>
  <c r="H43" i="25" s="1"/>
  <c r="V33" i="9" l="1"/>
  <c r="I34" i="17"/>
  <c r="Z49" i="9"/>
  <c r="Y24" i="9"/>
  <c r="AC24" i="9" s="1"/>
  <c r="AG24" i="9" s="1"/>
  <c r="AH24" i="9" s="1"/>
  <c r="V35" i="9"/>
  <c r="J34" i="17" s="1"/>
  <c r="I42" i="17"/>
  <c r="V43" i="9"/>
  <c r="J42" i="17" s="1"/>
  <c r="V53" i="9"/>
  <c r="J52" i="17" s="1"/>
  <c r="I52" i="17"/>
  <c r="M22" i="17"/>
  <c r="G49" i="9"/>
  <c r="G48" i="17" s="1"/>
  <c r="G35" i="9"/>
  <c r="G34" i="17" s="1"/>
  <c r="G36" i="9"/>
  <c r="G35" i="17" s="1"/>
  <c r="N268" i="23"/>
  <c r="AC39" i="9"/>
  <c r="Q38" i="17" s="1"/>
  <c r="M38" i="17"/>
  <c r="Y31" i="9"/>
  <c r="AC31" i="9" s="1"/>
  <c r="Z39" i="9"/>
  <c r="N38" i="17" s="1"/>
  <c r="G37" i="9"/>
  <c r="G36" i="17" s="1"/>
  <c r="AK52" i="9"/>
  <c r="Y51" i="17" s="1"/>
  <c r="V47" i="9"/>
  <c r="J46" i="17" s="1"/>
  <c r="V37" i="9"/>
  <c r="J36" i="17" s="1"/>
  <c r="AK31" i="9"/>
  <c r="Y30" i="17" s="1"/>
  <c r="V28" i="9"/>
  <c r="J27" i="17" s="1"/>
  <c r="V25" i="9"/>
  <c r="J24" i="17" s="1"/>
  <c r="G33" i="9"/>
  <c r="G32" i="17" s="1"/>
  <c r="G53" i="9"/>
  <c r="G52" i="17" s="1"/>
  <c r="AK49" i="9"/>
  <c r="Y48" i="17" s="1"/>
  <c r="AK39" i="9"/>
  <c r="Y38" i="17" s="1"/>
  <c r="AK33" i="9"/>
  <c r="Y32" i="17" s="1"/>
  <c r="AK27" i="9"/>
  <c r="Y26" i="17" s="1"/>
  <c r="V23" i="9"/>
  <c r="J22" i="17" s="1"/>
  <c r="AK51" i="9"/>
  <c r="Y50" i="17" s="1"/>
  <c r="AK44" i="9"/>
  <c r="Y43" i="17" s="1"/>
  <c r="AK41" i="9"/>
  <c r="Y40" i="17" s="1"/>
  <c r="V36" i="9"/>
  <c r="Z27" i="9"/>
  <c r="N26" i="17" s="1"/>
  <c r="AK24" i="9"/>
  <c r="Y23" i="17" s="1"/>
  <c r="AK53" i="9"/>
  <c r="Y52" i="17" s="1"/>
  <c r="V51" i="9"/>
  <c r="J50" i="17" s="1"/>
  <c r="V44" i="9"/>
  <c r="J43" i="17" s="1"/>
  <c r="V41" i="9"/>
  <c r="J40" i="17" s="1"/>
  <c r="AK35" i="9"/>
  <c r="Y34" i="17" s="1"/>
  <c r="V31" i="9"/>
  <c r="J30" i="17" s="1"/>
  <c r="V27" i="9"/>
  <c r="J26" i="17" s="1"/>
  <c r="Z53" i="9"/>
  <c r="V49" i="9"/>
  <c r="J48" i="17" s="1"/>
  <c r="AK43" i="9"/>
  <c r="Y42" i="17" s="1"/>
  <c r="V39" i="9"/>
  <c r="J38" i="17" s="1"/>
  <c r="Z35" i="9"/>
  <c r="N34" i="17" s="1"/>
  <c r="AK32" i="9"/>
  <c r="Y31" i="17" s="1"/>
  <c r="AK30" i="9"/>
  <c r="Y29" i="17" s="1"/>
  <c r="V24" i="9"/>
  <c r="J23" i="17" s="1"/>
  <c r="AK21" i="9"/>
  <c r="Y20" i="17" s="1"/>
  <c r="AK50" i="9"/>
  <c r="Y49" i="17" s="1"/>
  <c r="Z43" i="9"/>
  <c r="AK40" i="9"/>
  <c r="Y39" i="17" s="1"/>
  <c r="AK38" i="9"/>
  <c r="Y37" i="17" s="1"/>
  <c r="V30" i="9"/>
  <c r="J29" i="17" s="1"/>
  <c r="V21" i="9"/>
  <c r="J20" i="17" s="1"/>
  <c r="G25" i="9"/>
  <c r="G24" i="17" s="1"/>
  <c r="G43" i="9"/>
  <c r="G42" i="17" s="1"/>
  <c r="V48" i="9"/>
  <c r="J47" i="17" s="1"/>
  <c r="V38" i="9"/>
  <c r="J37" i="17" s="1"/>
  <c r="V32" i="9"/>
  <c r="J31" i="17" s="1"/>
  <c r="AK23" i="9"/>
  <c r="Y22" i="17" s="1"/>
  <c r="AK20" i="9"/>
  <c r="Y19" i="17" s="1"/>
  <c r="V50" i="9"/>
  <c r="J49" i="17" s="1"/>
  <c r="AK47" i="9"/>
  <c r="Y46" i="17" s="1"/>
  <c r="AK34" i="9"/>
  <c r="Y33" i="17" s="1"/>
  <c r="AK28" i="9"/>
  <c r="Y27" i="17" s="1"/>
  <c r="Z23" i="9"/>
  <c r="N22" i="17" s="1"/>
  <c r="V20" i="9"/>
  <c r="J19" i="17" s="1"/>
  <c r="N267" i="23"/>
  <c r="AK42" i="9"/>
  <c r="Y41" i="17" s="1"/>
  <c r="AK29" i="9"/>
  <c r="Y28" i="17" s="1"/>
  <c r="V29" i="9"/>
  <c r="J28" i="17" s="1"/>
  <c r="Z42" i="9"/>
  <c r="N41" i="17" s="1"/>
  <c r="AC42" i="9"/>
  <c r="Q41" i="17" s="1"/>
  <c r="M41" i="17"/>
  <c r="AD23" i="9"/>
  <c r="AG23" i="9"/>
  <c r="AH23" i="9" s="1"/>
  <c r="AD31" i="9"/>
  <c r="AG31" i="9"/>
  <c r="AH31" i="9" s="1"/>
  <c r="Z51" i="9"/>
  <c r="AC51" i="9"/>
  <c r="AD39" i="9"/>
  <c r="AG39" i="9"/>
  <c r="AH39" i="9" s="1"/>
  <c r="Z33" i="9"/>
  <c r="N32" i="17" s="1"/>
  <c r="M32" i="17"/>
  <c r="AC33" i="9"/>
  <c r="Q32" i="17" s="1"/>
  <c r="AD49" i="9"/>
  <c r="AG49" i="9"/>
  <c r="AH49" i="9" s="1"/>
  <c r="AD53" i="9"/>
  <c r="AG53" i="9"/>
  <c r="AH53" i="9" s="1"/>
  <c r="Z41" i="9"/>
  <c r="N40" i="17" s="1"/>
  <c r="AC41" i="9"/>
  <c r="M40" i="17"/>
  <c r="Z25" i="9"/>
  <c r="AC25" i="9"/>
  <c r="Q24" i="17" s="1"/>
  <c r="AD50" i="9"/>
  <c r="AG50" i="9"/>
  <c r="AH50" i="9" s="1"/>
  <c r="AD43" i="9"/>
  <c r="AG43" i="9"/>
  <c r="AH43" i="9" s="1"/>
  <c r="AD32" i="9"/>
  <c r="AG32" i="9"/>
  <c r="AH32" i="9" s="1"/>
  <c r="AD40" i="9"/>
  <c r="AG40" i="9"/>
  <c r="AH40" i="9" s="1"/>
  <c r="AC55" i="9"/>
  <c r="Z26" i="9"/>
  <c r="N25" i="17" s="1"/>
  <c r="AC26" i="9"/>
  <c r="M25" i="17"/>
  <c r="Z52" i="9"/>
  <c r="AC52" i="9"/>
  <c r="Z47" i="9"/>
  <c r="AC47" i="9"/>
  <c r="Z34" i="9"/>
  <c r="N33" i="17" s="1"/>
  <c r="AC34" i="9"/>
  <c r="Q33" i="17" s="1"/>
  <c r="M33" i="17"/>
  <c r="V52" i="9"/>
  <c r="J51" i="17" s="1"/>
  <c r="Z50" i="9"/>
  <c r="N49" i="17" s="1"/>
  <c r="V42" i="9"/>
  <c r="J41" i="17" s="1"/>
  <c r="Z40" i="9"/>
  <c r="N39" i="17" s="1"/>
  <c r="V34" i="9"/>
  <c r="J33" i="17" s="1"/>
  <c r="Z32" i="9"/>
  <c r="N31" i="17" s="1"/>
  <c r="V26" i="9"/>
  <c r="J25" i="17" s="1"/>
  <c r="Y56" i="9"/>
  <c r="Y48" i="9"/>
  <c r="Y38" i="9"/>
  <c r="Y30" i="9"/>
  <c r="Y22" i="9"/>
  <c r="Y37" i="9"/>
  <c r="AC35" i="9"/>
  <c r="Y29" i="9"/>
  <c r="AC27" i="9"/>
  <c r="Q26" i="17" s="1"/>
  <c r="Y21" i="9"/>
  <c r="M20" i="17" s="1"/>
  <c r="Y54" i="9"/>
  <c r="Y44" i="9"/>
  <c r="Y36" i="9"/>
  <c r="Y28" i="9"/>
  <c r="M27" i="17" s="1"/>
  <c r="Y20" i="9"/>
  <c r="M31" i="17"/>
  <c r="M49" i="17"/>
  <c r="M39" i="17"/>
  <c r="J35" i="17"/>
  <c r="I39" i="17"/>
  <c r="I31" i="17"/>
  <c r="I49" i="17"/>
  <c r="J32" i="17"/>
  <c r="I40" i="17"/>
  <c r="I32" i="17"/>
  <c r="I50" i="17"/>
  <c r="I20" i="17"/>
  <c r="I35" i="17"/>
  <c r="I43" i="17"/>
  <c r="I38" i="17"/>
  <c r="I48" i="17"/>
  <c r="I41" i="17"/>
  <c r="I33" i="17"/>
  <c r="I51" i="17"/>
  <c r="I36" i="17"/>
  <c r="I46" i="17"/>
  <c r="M50" i="17"/>
  <c r="M42" i="17"/>
  <c r="M34" i="17"/>
  <c r="I29" i="17"/>
  <c r="I26" i="17"/>
  <c r="I25" i="17"/>
  <c r="I24" i="17"/>
  <c r="I22" i="17"/>
  <c r="I19" i="17"/>
  <c r="Q49" i="17"/>
  <c r="Q52" i="17"/>
  <c r="M51" i="17"/>
  <c r="J39" i="17"/>
  <c r="G40" i="9"/>
  <c r="G39" i="17" s="1"/>
  <c r="G39" i="9"/>
  <c r="G38" i="17" s="1"/>
  <c r="Q39" i="17"/>
  <c r="Q40" i="17"/>
  <c r="Q31" i="17"/>
  <c r="M30" i="17"/>
  <c r="G26" i="9"/>
  <c r="G25" i="17" s="1"/>
  <c r="Q22" i="17"/>
  <c r="I34" i="25"/>
  <c r="G41" i="25"/>
  <c r="H41" i="25" s="1"/>
  <c r="I42" i="25" s="1"/>
  <c r="G26" i="25"/>
  <c r="H26" i="25" s="1"/>
  <c r="G29" i="25"/>
  <c r="G25" i="25"/>
  <c r="H25" i="25" s="1"/>
  <c r="G20" i="25"/>
  <c r="G19" i="25"/>
  <c r="H19" i="25" s="1"/>
  <c r="G27" i="25"/>
  <c r="G38" i="25"/>
  <c r="G37" i="25"/>
  <c r="H37" i="25" s="1"/>
  <c r="G31" i="25"/>
  <c r="G48" i="25"/>
  <c r="G28" i="25"/>
  <c r="H28" i="25" s="1"/>
  <c r="G39" i="25"/>
  <c r="H39" i="25" s="1"/>
  <c r="I40" i="25" s="1"/>
  <c r="G47" i="25"/>
  <c r="H47" i="25" s="1"/>
  <c r="D46" i="33"/>
  <c r="D45" i="33"/>
  <c r="D44" i="33"/>
  <c r="D43" i="33"/>
  <c r="D42" i="33"/>
  <c r="D41" i="33"/>
  <c r="D40" i="33"/>
  <c r="G36" i="33"/>
  <c r="G35" i="33"/>
  <c r="G34" i="33"/>
  <c r="G33" i="33"/>
  <c r="G32" i="33"/>
  <c r="G28" i="33"/>
  <c r="G27" i="33"/>
  <c r="G26" i="33"/>
  <c r="G22" i="33"/>
  <c r="G21" i="33"/>
  <c r="G20" i="33"/>
  <c r="G19" i="33"/>
  <c r="G18" i="33"/>
  <c r="G17" i="33"/>
  <c r="G13" i="33"/>
  <c r="G12" i="33"/>
  <c r="G11" i="33"/>
  <c r="G7" i="33"/>
  <c r="G6" i="33"/>
  <c r="G5" i="33"/>
  <c r="G4" i="33"/>
  <c r="G3" i="33"/>
  <c r="I3" i="33"/>
  <c r="H3" i="33"/>
  <c r="F3" i="33"/>
  <c r="F36" i="33"/>
  <c r="F35" i="33"/>
  <c r="F34" i="33"/>
  <c r="F33" i="33"/>
  <c r="F32" i="33"/>
  <c r="F28" i="33"/>
  <c r="F27" i="33"/>
  <c r="F26" i="33"/>
  <c r="F22" i="33"/>
  <c r="F21" i="33"/>
  <c r="F20" i="33"/>
  <c r="F19" i="33"/>
  <c r="F18" i="33"/>
  <c r="F17" i="33"/>
  <c r="F13" i="33"/>
  <c r="F12" i="33"/>
  <c r="F11" i="33"/>
  <c r="F7" i="33"/>
  <c r="F6" i="33"/>
  <c r="F5" i="33"/>
  <c r="F4" i="33"/>
  <c r="H36" i="33"/>
  <c r="H35" i="33"/>
  <c r="H34" i="33"/>
  <c r="H33" i="33"/>
  <c r="H32" i="33"/>
  <c r="H28" i="33"/>
  <c r="H27" i="33"/>
  <c r="H26" i="33"/>
  <c r="H22" i="33"/>
  <c r="H21" i="33"/>
  <c r="H20" i="33"/>
  <c r="H19" i="33"/>
  <c r="H18" i="33"/>
  <c r="H17" i="33"/>
  <c r="H13" i="33"/>
  <c r="H12" i="33"/>
  <c r="H11" i="33"/>
  <c r="H7" i="33"/>
  <c r="H6" i="33"/>
  <c r="H5" i="33"/>
  <c r="H4" i="33"/>
  <c r="C201" i="9"/>
  <c r="F23" i="10"/>
  <c r="F22" i="10"/>
  <c r="F21" i="10"/>
  <c r="F19" i="10"/>
  <c r="F18" i="10"/>
  <c r="I10" i="10"/>
  <c r="I47" i="10"/>
  <c r="F50" i="10"/>
  <c r="AD24" i="9" l="1"/>
  <c r="M23" i="17"/>
  <c r="Z24" i="9"/>
  <c r="I27" i="25"/>
  <c r="R268" i="23"/>
  <c r="O268" i="23"/>
  <c r="Z31" i="9"/>
  <c r="N30" i="17" s="1"/>
  <c r="I20" i="25"/>
  <c r="I31" i="25"/>
  <c r="H31" i="25"/>
  <c r="I38" i="25"/>
  <c r="R267" i="23"/>
  <c r="O267" i="23"/>
  <c r="Z30" i="9"/>
  <c r="N29" i="17" s="1"/>
  <c r="M29" i="17"/>
  <c r="AC30" i="9"/>
  <c r="AD51" i="9"/>
  <c r="AG51" i="9"/>
  <c r="AH51" i="9" s="1"/>
  <c r="AC38" i="9"/>
  <c r="Z38" i="9"/>
  <c r="N37" i="17" s="1"/>
  <c r="M37" i="17"/>
  <c r="AD52" i="9"/>
  <c r="AG52" i="9"/>
  <c r="AH52" i="9" s="1"/>
  <c r="Z21" i="9"/>
  <c r="N20" i="17" s="1"/>
  <c r="AC21" i="9"/>
  <c r="Q20" i="17" s="1"/>
  <c r="AC48" i="9"/>
  <c r="Q47" i="17" s="1"/>
  <c r="Z48" i="9"/>
  <c r="N47" i="17" s="1"/>
  <c r="Z44" i="9"/>
  <c r="N43" i="17" s="1"/>
  <c r="M43" i="17"/>
  <c r="AC44" i="9"/>
  <c r="AC54" i="9"/>
  <c r="AD27" i="9"/>
  <c r="R26" i="17" s="1"/>
  <c r="AG27" i="9"/>
  <c r="AH27" i="9" s="1"/>
  <c r="AC56" i="9"/>
  <c r="AD33" i="9"/>
  <c r="R32" i="17" s="1"/>
  <c r="AG33" i="9"/>
  <c r="AH33" i="9" s="1"/>
  <c r="M19" i="17"/>
  <c r="Z20" i="9"/>
  <c r="N19" i="17" s="1"/>
  <c r="AC20" i="9"/>
  <c r="AD35" i="9"/>
  <c r="AG35" i="9"/>
  <c r="AH35" i="9" s="1"/>
  <c r="AD34" i="9"/>
  <c r="R33" i="17" s="1"/>
  <c r="AG34" i="9"/>
  <c r="AH34" i="9" s="1"/>
  <c r="AD41" i="9"/>
  <c r="R40" i="17" s="1"/>
  <c r="AG41" i="9"/>
  <c r="AH41" i="9" s="1"/>
  <c r="Z29" i="9"/>
  <c r="N28" i="17" s="1"/>
  <c r="AC29" i="9"/>
  <c r="M47" i="17"/>
  <c r="Z28" i="9"/>
  <c r="N27" i="17" s="1"/>
  <c r="AC28" i="9"/>
  <c r="Z37" i="9"/>
  <c r="N36" i="17" s="1"/>
  <c r="AC37" i="9"/>
  <c r="M36" i="17"/>
  <c r="AG55" i="9"/>
  <c r="AD25" i="9"/>
  <c r="R24" i="17" s="1"/>
  <c r="AG25" i="9"/>
  <c r="AH25" i="9" s="1"/>
  <c r="AD26" i="9"/>
  <c r="R25" i="17" s="1"/>
  <c r="AG26" i="9"/>
  <c r="AH26" i="9" s="1"/>
  <c r="M35" i="17"/>
  <c r="Z36" i="9"/>
  <c r="N35" i="17" s="1"/>
  <c r="AC36" i="9"/>
  <c r="AC22" i="9"/>
  <c r="AD47" i="9"/>
  <c r="AG47" i="9"/>
  <c r="AH47" i="9" s="1"/>
  <c r="AD42" i="9"/>
  <c r="R41" i="17" s="1"/>
  <c r="AG42" i="9"/>
  <c r="AH42" i="9" s="1"/>
  <c r="N48" i="17"/>
  <c r="M48" i="17"/>
  <c r="M46" i="17"/>
  <c r="N46" i="17"/>
  <c r="N52" i="17"/>
  <c r="M52" i="17"/>
  <c r="Q48" i="17"/>
  <c r="Q50" i="17"/>
  <c r="N50" i="17"/>
  <c r="Q42" i="17"/>
  <c r="N42" i="17"/>
  <c r="U38" i="17"/>
  <c r="Q34" i="17"/>
  <c r="M28" i="17"/>
  <c r="Q25" i="17"/>
  <c r="N24" i="17"/>
  <c r="M24" i="17"/>
  <c r="N51" i="17"/>
  <c r="Q51" i="17"/>
  <c r="R52" i="17"/>
  <c r="R48" i="17"/>
  <c r="R49" i="17"/>
  <c r="R38" i="17"/>
  <c r="R39" i="17"/>
  <c r="U39" i="17"/>
  <c r="Q30" i="17"/>
  <c r="R31" i="17"/>
  <c r="U31" i="17"/>
  <c r="R22" i="17"/>
  <c r="N23" i="17"/>
  <c r="Q23" i="17"/>
  <c r="I29" i="25"/>
  <c r="F29" i="10"/>
  <c r="F28" i="10"/>
  <c r="F27" i="10"/>
  <c r="F26" i="10"/>
  <c r="F25" i="10"/>
  <c r="F106" i="23" s="1"/>
  <c r="F198" i="9" s="1"/>
  <c r="L36" i="33"/>
  <c r="L35" i="33"/>
  <c r="L34" i="33"/>
  <c r="L33" i="33"/>
  <c r="L32" i="33"/>
  <c r="K36" i="33"/>
  <c r="K35" i="33"/>
  <c r="K34" i="33"/>
  <c r="K33" i="33"/>
  <c r="K32" i="33"/>
  <c r="J36" i="33"/>
  <c r="J35" i="33"/>
  <c r="J34" i="33"/>
  <c r="J33" i="33"/>
  <c r="J32" i="33"/>
  <c r="I36" i="33"/>
  <c r="I35" i="33"/>
  <c r="I34" i="33"/>
  <c r="I33" i="33"/>
  <c r="I32" i="33"/>
  <c r="L28" i="33"/>
  <c r="L27" i="33"/>
  <c r="L26" i="33"/>
  <c r="K26" i="33"/>
  <c r="K28" i="33"/>
  <c r="K27" i="33"/>
  <c r="J28" i="33"/>
  <c r="J27" i="33"/>
  <c r="J26" i="33"/>
  <c r="I28" i="33"/>
  <c r="I27" i="33"/>
  <c r="I26" i="33"/>
  <c r="L22" i="33"/>
  <c r="L21" i="33"/>
  <c r="L20" i="33"/>
  <c r="L19" i="33"/>
  <c r="L18" i="33"/>
  <c r="L17" i="33"/>
  <c r="K22" i="33"/>
  <c r="K21" i="33"/>
  <c r="K20" i="33"/>
  <c r="K19" i="33"/>
  <c r="K18" i="33"/>
  <c r="K17" i="33"/>
  <c r="J22" i="33"/>
  <c r="J21" i="33"/>
  <c r="J20" i="33"/>
  <c r="J19" i="33"/>
  <c r="J18" i="33"/>
  <c r="J17" i="33"/>
  <c r="I22" i="33"/>
  <c r="I21" i="33"/>
  <c r="I20" i="33"/>
  <c r="I19" i="33"/>
  <c r="I18" i="33"/>
  <c r="I17" i="33"/>
  <c r="L13" i="33"/>
  <c r="D54" i="33" s="1"/>
  <c r="F129" i="23" s="1"/>
  <c r="F207" i="9" s="1"/>
  <c r="L12" i="33"/>
  <c r="L11" i="33"/>
  <c r="K13" i="33"/>
  <c r="D53" i="33" s="1"/>
  <c r="F128" i="23" s="1"/>
  <c r="F206" i="9" s="1"/>
  <c r="K12" i="33"/>
  <c r="K11" i="33"/>
  <c r="J13" i="33"/>
  <c r="D52" i="33" s="1"/>
  <c r="F127" i="23" s="1"/>
  <c r="F205" i="9" s="1"/>
  <c r="J12" i="33"/>
  <c r="J11" i="33"/>
  <c r="I13" i="33"/>
  <c r="D51" i="33" s="1"/>
  <c r="F126" i="23" s="1"/>
  <c r="F204" i="9" s="1"/>
  <c r="I12" i="33"/>
  <c r="I11" i="33"/>
  <c r="L7" i="33"/>
  <c r="L6" i="33"/>
  <c r="L5" i="33"/>
  <c r="L4" i="33"/>
  <c r="L3" i="33"/>
  <c r="K7" i="33"/>
  <c r="K6" i="33"/>
  <c r="K5" i="33"/>
  <c r="K4" i="33"/>
  <c r="K3" i="33"/>
  <c r="J7" i="33"/>
  <c r="J6" i="33"/>
  <c r="J5" i="33"/>
  <c r="J4" i="33"/>
  <c r="J3" i="33"/>
  <c r="I7" i="33"/>
  <c r="I6" i="33"/>
  <c r="I5" i="33"/>
  <c r="I4" i="33"/>
  <c r="C29" i="10"/>
  <c r="C25" i="10"/>
  <c r="F158" i="23" s="1"/>
  <c r="F24" i="10"/>
  <c r="F20" i="10"/>
  <c r="C28" i="10"/>
  <c r="C27" i="10"/>
  <c r="C24" i="10"/>
  <c r="F156" i="23" s="1"/>
  <c r="C23" i="10"/>
  <c r="F155" i="23" s="1"/>
  <c r="G85" i="25"/>
  <c r="H182" i="23"/>
  <c r="J182" i="23"/>
  <c r="K182" i="23" s="1"/>
  <c r="H183" i="23"/>
  <c r="J183" i="23"/>
  <c r="K183" i="23" s="1"/>
  <c r="H184" i="23"/>
  <c r="J184" i="23"/>
  <c r="N184" i="23" s="1"/>
  <c r="H185" i="23"/>
  <c r="J185" i="23"/>
  <c r="K185" i="23" s="1"/>
  <c r="H186" i="23"/>
  <c r="J186" i="23"/>
  <c r="N186" i="23" s="1"/>
  <c r="H187" i="23"/>
  <c r="J187" i="23"/>
  <c r="K187" i="23" s="1"/>
  <c r="H188" i="23"/>
  <c r="J188" i="23"/>
  <c r="N188" i="23" s="1"/>
  <c r="O188" i="23" s="1"/>
  <c r="H189" i="23"/>
  <c r="J189" i="23"/>
  <c r="N189" i="23" s="1"/>
  <c r="O189" i="23" s="1"/>
  <c r="H190" i="23"/>
  <c r="J190" i="23"/>
  <c r="K190" i="23" s="1"/>
  <c r="H191" i="23"/>
  <c r="J191" i="23"/>
  <c r="K191" i="23" s="1"/>
  <c r="H192" i="23"/>
  <c r="J192" i="23"/>
  <c r="N192" i="23" s="1"/>
  <c r="H193" i="23"/>
  <c r="J193" i="23"/>
  <c r="K193" i="23" s="1"/>
  <c r="H194" i="23"/>
  <c r="J194" i="23"/>
  <c r="N194" i="23" s="1"/>
  <c r="H195" i="23"/>
  <c r="J195" i="23"/>
  <c r="K195" i="23" s="1"/>
  <c r="H196" i="23"/>
  <c r="J196" i="23"/>
  <c r="K196" i="23" s="1"/>
  <c r="H197" i="23"/>
  <c r="J197" i="23"/>
  <c r="K197" i="23" s="1"/>
  <c r="H198" i="23"/>
  <c r="J198" i="23"/>
  <c r="K198" i="23" s="1"/>
  <c r="H199" i="23"/>
  <c r="J199" i="23"/>
  <c r="K199" i="23" s="1"/>
  <c r="H200" i="23"/>
  <c r="J200" i="23"/>
  <c r="K200" i="23" s="1"/>
  <c r="H201" i="23"/>
  <c r="J201" i="23"/>
  <c r="K201" i="23" s="1"/>
  <c r="H202" i="23"/>
  <c r="J202" i="23"/>
  <c r="N202" i="23" s="1"/>
  <c r="I52" i="10"/>
  <c r="I19" i="10"/>
  <c r="I48" i="10"/>
  <c r="I51" i="10"/>
  <c r="I50" i="10"/>
  <c r="I49" i="10"/>
  <c r="I18" i="10"/>
  <c r="I20" i="10"/>
  <c r="I24" i="10"/>
  <c r="U32" i="17" l="1"/>
  <c r="U41" i="17"/>
  <c r="S268" i="23"/>
  <c r="V268" i="23"/>
  <c r="W268" i="23" s="1"/>
  <c r="F105" i="23"/>
  <c r="F197" i="9" s="1"/>
  <c r="U40" i="17"/>
  <c r="S267" i="23"/>
  <c r="V267" i="23"/>
  <c r="W267" i="23" s="1"/>
  <c r="K192" i="23"/>
  <c r="N201" i="23"/>
  <c r="O201" i="23" s="1"/>
  <c r="U33" i="17"/>
  <c r="AG38" i="9"/>
  <c r="AD38" i="9"/>
  <c r="R37" i="17" s="1"/>
  <c r="Q37" i="17"/>
  <c r="AG48" i="9"/>
  <c r="AH48" i="9" s="1"/>
  <c r="AD48" i="9"/>
  <c r="R47" i="17" s="1"/>
  <c r="AG22" i="9"/>
  <c r="AD29" i="9"/>
  <c r="R28" i="17" s="1"/>
  <c r="AG29" i="9"/>
  <c r="AH29" i="9" s="1"/>
  <c r="V28" i="17" s="1"/>
  <c r="Q28" i="17"/>
  <c r="AD20" i="9"/>
  <c r="R19" i="17" s="1"/>
  <c r="AG20" i="9"/>
  <c r="AH20" i="9" s="1"/>
  <c r="V19" i="17" s="1"/>
  <c r="Q19" i="17"/>
  <c r="AD21" i="9"/>
  <c r="R20" i="17" s="1"/>
  <c r="AG21" i="9"/>
  <c r="AH21" i="9" s="1"/>
  <c r="AG28" i="9"/>
  <c r="AH28" i="9" s="1"/>
  <c r="AD28" i="9"/>
  <c r="R27" i="17" s="1"/>
  <c r="AG36" i="9"/>
  <c r="AD36" i="9"/>
  <c r="R35" i="17" s="1"/>
  <c r="Q35" i="17"/>
  <c r="AG54" i="9"/>
  <c r="AG30" i="9"/>
  <c r="AH30" i="9" s="1"/>
  <c r="V29" i="17" s="1"/>
  <c r="AD30" i="9"/>
  <c r="R29" i="17" s="1"/>
  <c r="Q29" i="17"/>
  <c r="AG56" i="9"/>
  <c r="Q27" i="17"/>
  <c r="AD37" i="9"/>
  <c r="R36" i="17" s="1"/>
  <c r="AG37" i="9"/>
  <c r="Q36" i="17"/>
  <c r="AG44" i="9"/>
  <c r="AD44" i="9"/>
  <c r="R43" i="17" s="1"/>
  <c r="Q43" i="17"/>
  <c r="V48" i="17"/>
  <c r="U48" i="17"/>
  <c r="V32" i="17"/>
  <c r="V49" i="17"/>
  <c r="U49" i="17"/>
  <c r="V52" i="17"/>
  <c r="U52" i="17"/>
  <c r="Q46" i="17"/>
  <c r="R46" i="17"/>
  <c r="R50" i="17"/>
  <c r="U42" i="17"/>
  <c r="R42" i="17"/>
  <c r="V41" i="17"/>
  <c r="V40" i="17"/>
  <c r="V39" i="17"/>
  <c r="V38" i="17"/>
  <c r="U34" i="17"/>
  <c r="R34" i="17"/>
  <c r="V33" i="17"/>
  <c r="V31" i="17"/>
  <c r="V26" i="17"/>
  <c r="U26" i="17"/>
  <c r="V25" i="17"/>
  <c r="U25" i="17"/>
  <c r="V24" i="17"/>
  <c r="U24" i="17"/>
  <c r="V22" i="17"/>
  <c r="U22" i="17"/>
  <c r="U19" i="17"/>
  <c r="R51" i="17"/>
  <c r="U30" i="17"/>
  <c r="R30" i="17"/>
  <c r="R23" i="17"/>
  <c r="D50" i="33"/>
  <c r="F125" i="23" s="1"/>
  <c r="F203" i="9" s="1"/>
  <c r="F28" i="23"/>
  <c r="F29" i="23"/>
  <c r="K202" i="23"/>
  <c r="K188" i="23"/>
  <c r="N197" i="23"/>
  <c r="O197" i="23" s="1"/>
  <c r="N200" i="23"/>
  <c r="K184" i="23"/>
  <c r="N185" i="23"/>
  <c r="O185" i="23" s="1"/>
  <c r="F115" i="23"/>
  <c r="F117" i="23"/>
  <c r="F118" i="23"/>
  <c r="F116" i="23"/>
  <c r="F119" i="23"/>
  <c r="D55" i="33"/>
  <c r="F130" i="23" s="1"/>
  <c r="F211" i="9" s="1"/>
  <c r="F120" i="23"/>
  <c r="D49" i="33"/>
  <c r="F124" i="23" s="1"/>
  <c r="F202" i="9" s="1"/>
  <c r="F121" i="23"/>
  <c r="D48" i="33"/>
  <c r="F123" i="23" s="1"/>
  <c r="F201" i="9" s="1"/>
  <c r="D47" i="33"/>
  <c r="F122" i="23" s="1"/>
  <c r="F200" i="9" s="1"/>
  <c r="D56" i="33"/>
  <c r="F132" i="23" s="1"/>
  <c r="D57" i="33"/>
  <c r="F133" i="23" s="1"/>
  <c r="F39" i="23"/>
  <c r="F30" i="23"/>
  <c r="F34" i="23"/>
  <c r="R184" i="23"/>
  <c r="V184" i="23" s="1"/>
  <c r="W184" i="23" s="1"/>
  <c r="O184" i="23"/>
  <c r="N196" i="23"/>
  <c r="O196" i="23" s="1"/>
  <c r="K189" i="23"/>
  <c r="K186" i="23"/>
  <c r="R192" i="23"/>
  <c r="V192" i="23" s="1"/>
  <c r="W192" i="23" s="1"/>
  <c r="O192" i="23"/>
  <c r="N193" i="23"/>
  <c r="O193" i="23" s="1"/>
  <c r="K194" i="23"/>
  <c r="O202" i="23"/>
  <c r="R202" i="23"/>
  <c r="O194" i="23"/>
  <c r="R194" i="23"/>
  <c r="O186" i="23"/>
  <c r="R186" i="23"/>
  <c r="N195" i="23"/>
  <c r="N187" i="23"/>
  <c r="N199" i="23"/>
  <c r="N191" i="23"/>
  <c r="R189" i="23"/>
  <c r="N183" i="23"/>
  <c r="N198" i="23"/>
  <c r="N190" i="23"/>
  <c r="R188" i="23"/>
  <c r="N182" i="23"/>
  <c r="U28" i="17" l="1"/>
  <c r="R201" i="23"/>
  <c r="V201" i="23" s="1"/>
  <c r="W201" i="23" s="1"/>
  <c r="U29" i="17"/>
  <c r="AH37" i="9"/>
  <c r="V36" i="17" s="1"/>
  <c r="U36" i="17"/>
  <c r="AH36" i="9"/>
  <c r="V35" i="17" s="1"/>
  <c r="U35" i="17"/>
  <c r="AH38" i="9"/>
  <c r="V37" i="17" s="1"/>
  <c r="U37" i="17"/>
  <c r="AH44" i="9"/>
  <c r="V43" i="17" s="1"/>
  <c r="U43" i="17"/>
  <c r="V50" i="17"/>
  <c r="U50" i="17"/>
  <c r="V51" i="17"/>
  <c r="U51" i="17"/>
  <c r="V47" i="17"/>
  <c r="U47" i="17"/>
  <c r="V46" i="17"/>
  <c r="U46" i="17"/>
  <c r="V42" i="17"/>
  <c r="V34" i="17"/>
  <c r="V30" i="17"/>
  <c r="V27" i="17"/>
  <c r="U27" i="17"/>
  <c r="V23" i="17"/>
  <c r="U23" i="17"/>
  <c r="V20" i="17"/>
  <c r="U20" i="17"/>
  <c r="H29" i="23"/>
  <c r="J29" i="23"/>
  <c r="J28" i="23"/>
  <c r="H28" i="23"/>
  <c r="R196" i="23"/>
  <c r="S196" i="23" s="1"/>
  <c r="R197" i="23"/>
  <c r="S197" i="23" s="1"/>
  <c r="R200" i="23"/>
  <c r="O200" i="23"/>
  <c r="R185" i="23"/>
  <c r="S185" i="23" s="1"/>
  <c r="S184" i="23"/>
  <c r="H30" i="23"/>
  <c r="J30" i="23"/>
  <c r="H34" i="23"/>
  <c r="J34" i="23"/>
  <c r="R193" i="23"/>
  <c r="V193" i="23" s="1"/>
  <c r="W193" i="23" s="1"/>
  <c r="S192" i="23"/>
  <c r="O198" i="23"/>
  <c r="R198" i="23"/>
  <c r="R187" i="23"/>
  <c r="O187" i="23"/>
  <c r="R183" i="23"/>
  <c r="O183" i="23"/>
  <c r="R195" i="23"/>
  <c r="O195" i="23"/>
  <c r="V189" i="23"/>
  <c r="W189" i="23" s="1"/>
  <c r="S189" i="23"/>
  <c r="S194" i="23"/>
  <c r="V194" i="23"/>
  <c r="W194" i="23" s="1"/>
  <c r="R191" i="23"/>
  <c r="O191" i="23"/>
  <c r="S186" i="23"/>
  <c r="V186" i="23"/>
  <c r="W186" i="23" s="1"/>
  <c r="S202" i="23"/>
  <c r="V202" i="23"/>
  <c r="W202" i="23" s="1"/>
  <c r="O182" i="23"/>
  <c r="R182" i="23"/>
  <c r="V188" i="23"/>
  <c r="W188" i="23" s="1"/>
  <c r="S188" i="23"/>
  <c r="O199" i="23"/>
  <c r="R199" i="23"/>
  <c r="O190" i="23"/>
  <c r="R190" i="23"/>
  <c r="C9" i="22"/>
  <c r="G180" i="9"/>
  <c r="S201" i="23" l="1"/>
  <c r="V185" i="23"/>
  <c r="W185" i="23" s="1"/>
  <c r="N28" i="23"/>
  <c r="K28" i="23"/>
  <c r="K29" i="23"/>
  <c r="N29" i="23"/>
  <c r="V196" i="23"/>
  <c r="W196" i="23" s="1"/>
  <c r="V197" i="23"/>
  <c r="W197" i="23" s="1"/>
  <c r="V200" i="23"/>
  <c r="W200" i="23" s="1"/>
  <c r="S200" i="23"/>
  <c r="K34" i="23"/>
  <c r="N34" i="23"/>
  <c r="K30" i="23"/>
  <c r="N30" i="23"/>
  <c r="S193" i="23"/>
  <c r="S190" i="23"/>
  <c r="V190" i="23"/>
  <c r="W190" i="23" s="1"/>
  <c r="V198" i="23"/>
  <c r="W198" i="23" s="1"/>
  <c r="S198" i="23"/>
  <c r="S191" i="23"/>
  <c r="V191" i="23"/>
  <c r="W191" i="23" s="1"/>
  <c r="S195" i="23"/>
  <c r="V195" i="23"/>
  <c r="W195" i="23" s="1"/>
  <c r="S199" i="23"/>
  <c r="V199" i="23"/>
  <c r="W199" i="23" s="1"/>
  <c r="S182" i="23"/>
  <c r="V182" i="23"/>
  <c r="W182" i="23" s="1"/>
  <c r="S183" i="23"/>
  <c r="V183" i="23"/>
  <c r="W183" i="23" s="1"/>
  <c r="S187" i="23"/>
  <c r="V187" i="23"/>
  <c r="W187" i="23" s="1"/>
  <c r="R28" i="23" l="1"/>
  <c r="O28" i="23"/>
  <c r="R29" i="23"/>
  <c r="O29" i="23"/>
  <c r="O30" i="23"/>
  <c r="R30" i="23"/>
  <c r="R34" i="23"/>
  <c r="O34" i="23"/>
  <c r="H263" i="23"/>
  <c r="J263" i="23"/>
  <c r="N263" i="23" s="1"/>
  <c r="O263" i="23" s="1"/>
  <c r="H264" i="23"/>
  <c r="J264" i="23"/>
  <c r="N264" i="23" s="1"/>
  <c r="H265" i="23"/>
  <c r="J265" i="23"/>
  <c r="K265" i="23" s="1"/>
  <c r="H266" i="23"/>
  <c r="J266" i="23"/>
  <c r="K266" i="23" s="1"/>
  <c r="H269" i="23"/>
  <c r="J269" i="23"/>
  <c r="K269" i="23" s="1"/>
  <c r="H270" i="23"/>
  <c r="J270" i="23"/>
  <c r="K270" i="23" s="1"/>
  <c r="H271" i="23"/>
  <c r="J271" i="23"/>
  <c r="N271" i="23" s="1"/>
  <c r="H272" i="23"/>
  <c r="J272" i="23"/>
  <c r="N272" i="23" s="1"/>
  <c r="O272" i="23" s="1"/>
  <c r="B156" i="17"/>
  <c r="C156" i="17"/>
  <c r="D156" i="17"/>
  <c r="E156" i="17"/>
  <c r="F156" i="17"/>
  <c r="H156" i="17"/>
  <c r="K156" i="17"/>
  <c r="L156" i="17"/>
  <c r="O156" i="17"/>
  <c r="P156" i="17"/>
  <c r="S156" i="17"/>
  <c r="T156" i="17"/>
  <c r="W156" i="17"/>
  <c r="X156" i="17"/>
  <c r="Z156" i="17"/>
  <c r="B157" i="17"/>
  <c r="C157" i="17"/>
  <c r="D157" i="17"/>
  <c r="E157" i="17"/>
  <c r="F157" i="17"/>
  <c r="H157" i="17"/>
  <c r="K157" i="17"/>
  <c r="L157" i="17"/>
  <c r="O157" i="17"/>
  <c r="P157" i="17"/>
  <c r="S157" i="17"/>
  <c r="T157" i="17"/>
  <c r="W157" i="17"/>
  <c r="X157" i="17"/>
  <c r="Z157" i="17"/>
  <c r="U203" i="9"/>
  <c r="Y203" i="9" s="1"/>
  <c r="U204" i="9"/>
  <c r="Y204" i="9" s="1"/>
  <c r="M157" i="17" s="1"/>
  <c r="D203" i="9"/>
  <c r="E203" i="9"/>
  <c r="G203" i="9" s="1"/>
  <c r="G156" i="17" s="1"/>
  <c r="C203" i="9"/>
  <c r="B203" i="9"/>
  <c r="J122" i="23"/>
  <c r="K122" i="23" s="1"/>
  <c r="H122" i="23"/>
  <c r="H121" i="23"/>
  <c r="J121" i="23"/>
  <c r="N121" i="23" s="1"/>
  <c r="H123" i="23"/>
  <c r="J123" i="23"/>
  <c r="K123" i="23" s="1"/>
  <c r="H129" i="23"/>
  <c r="J129" i="23"/>
  <c r="N129" i="23" s="1"/>
  <c r="H130" i="23"/>
  <c r="J130" i="23"/>
  <c r="K130" i="23" s="1"/>
  <c r="H131" i="23"/>
  <c r="J131" i="23"/>
  <c r="K131" i="23" s="1"/>
  <c r="B140" i="17"/>
  <c r="C140" i="17"/>
  <c r="D140" i="17"/>
  <c r="E140" i="17"/>
  <c r="F140" i="17"/>
  <c r="H140" i="17"/>
  <c r="K140" i="17"/>
  <c r="L140" i="17"/>
  <c r="O140" i="17"/>
  <c r="P140" i="17"/>
  <c r="S140" i="17"/>
  <c r="T140" i="17"/>
  <c r="W140" i="17"/>
  <c r="X140" i="17"/>
  <c r="Z140" i="17"/>
  <c r="B159" i="9"/>
  <c r="C159" i="9"/>
  <c r="D159" i="9"/>
  <c r="E159" i="9"/>
  <c r="G159" i="9" s="1"/>
  <c r="G140" i="17" s="1"/>
  <c r="U159" i="9"/>
  <c r="B91" i="17"/>
  <c r="C91" i="17"/>
  <c r="D91" i="17"/>
  <c r="E91" i="17"/>
  <c r="H91" i="17"/>
  <c r="K91" i="17"/>
  <c r="L91" i="17"/>
  <c r="O91" i="17"/>
  <c r="P91" i="17"/>
  <c r="S91" i="17"/>
  <c r="T91" i="17"/>
  <c r="W91" i="17"/>
  <c r="X91" i="17"/>
  <c r="Z91" i="17"/>
  <c r="B90" i="17"/>
  <c r="C90" i="17"/>
  <c r="D90" i="17"/>
  <c r="E90" i="17"/>
  <c r="F90" i="17"/>
  <c r="H90" i="17"/>
  <c r="K90" i="17"/>
  <c r="L90" i="17"/>
  <c r="O90" i="17"/>
  <c r="P90" i="17"/>
  <c r="S90" i="17"/>
  <c r="T90" i="17"/>
  <c r="W90" i="17"/>
  <c r="X90" i="17"/>
  <c r="Z90" i="17"/>
  <c r="B84" i="17"/>
  <c r="C84" i="17"/>
  <c r="D84" i="17"/>
  <c r="E84" i="17"/>
  <c r="F84" i="17"/>
  <c r="H84" i="17"/>
  <c r="K84" i="17"/>
  <c r="L84" i="17"/>
  <c r="O84" i="17"/>
  <c r="P84" i="17"/>
  <c r="S84" i="17"/>
  <c r="T84" i="17"/>
  <c r="W84" i="17"/>
  <c r="X84" i="17"/>
  <c r="Z84" i="17"/>
  <c r="B85" i="17"/>
  <c r="C85" i="17"/>
  <c r="D85" i="17"/>
  <c r="E85" i="17"/>
  <c r="F85" i="17"/>
  <c r="H85" i="17"/>
  <c r="K85" i="17"/>
  <c r="L85" i="17"/>
  <c r="O85" i="17"/>
  <c r="P85" i="17"/>
  <c r="S85" i="17"/>
  <c r="T85" i="17"/>
  <c r="W85" i="17"/>
  <c r="X85" i="17"/>
  <c r="Z85" i="17"/>
  <c r="U100" i="9"/>
  <c r="I90" i="17" s="1"/>
  <c r="B100" i="9"/>
  <c r="C100" i="9"/>
  <c r="D100" i="9"/>
  <c r="E100" i="9"/>
  <c r="G100" i="9" s="1"/>
  <c r="G90" i="17" s="1"/>
  <c r="B101" i="9"/>
  <c r="C101" i="9"/>
  <c r="D101" i="9"/>
  <c r="E101" i="9"/>
  <c r="AK101" i="9" s="1"/>
  <c r="Y91" i="17" s="1"/>
  <c r="U94" i="9"/>
  <c r="Y94" i="9" s="1"/>
  <c r="U95" i="9"/>
  <c r="I85" i="17" s="1"/>
  <c r="C94" i="9"/>
  <c r="D94" i="9"/>
  <c r="E94" i="9"/>
  <c r="AK94" i="9" s="1"/>
  <c r="Y84" i="17" s="1"/>
  <c r="C95" i="9"/>
  <c r="D95" i="9"/>
  <c r="E95" i="9"/>
  <c r="AK95" i="9" s="1"/>
  <c r="Y85" i="17" s="1"/>
  <c r="B94" i="9"/>
  <c r="B95" i="9"/>
  <c r="Y95" i="9" l="1"/>
  <c r="Z95" i="9" s="1"/>
  <c r="N85" i="17" s="1"/>
  <c r="AK203" i="9"/>
  <c r="Y156" i="17" s="1"/>
  <c r="Z203" i="9"/>
  <c r="N156" i="17" s="1"/>
  <c r="V159" i="9"/>
  <c r="J140" i="17" s="1"/>
  <c r="V203" i="9"/>
  <c r="J156" i="17" s="1"/>
  <c r="V29" i="23"/>
  <c r="W29" i="23" s="1"/>
  <c r="S29" i="23"/>
  <c r="S28" i="23"/>
  <c r="V28" i="23"/>
  <c r="W28" i="23" s="1"/>
  <c r="I156" i="17"/>
  <c r="I157" i="17"/>
  <c r="M156" i="17"/>
  <c r="V34" i="23"/>
  <c r="W34" i="23" s="1"/>
  <c r="S34" i="23"/>
  <c r="S30" i="23"/>
  <c r="V30" i="23"/>
  <c r="W30" i="23" s="1"/>
  <c r="K264" i="23"/>
  <c r="K271" i="23"/>
  <c r="K263" i="23"/>
  <c r="R271" i="23"/>
  <c r="V271" i="23" s="1"/>
  <c r="W271" i="23" s="1"/>
  <c r="O271" i="23"/>
  <c r="K272" i="23"/>
  <c r="N270" i="23"/>
  <c r="N266" i="23"/>
  <c r="O266" i="23" s="1"/>
  <c r="O264" i="23"/>
  <c r="R264" i="23"/>
  <c r="N269" i="23"/>
  <c r="R272" i="23"/>
  <c r="N265" i="23"/>
  <c r="R263" i="23"/>
  <c r="N122" i="23"/>
  <c r="O122" i="23" s="1"/>
  <c r="AC204" i="9"/>
  <c r="Q157" i="17" s="1"/>
  <c r="AC203" i="9"/>
  <c r="Q156" i="17" s="1"/>
  <c r="AK159" i="9"/>
  <c r="Y140" i="17" s="1"/>
  <c r="N131" i="23"/>
  <c r="R131" i="23" s="1"/>
  <c r="V131" i="23" s="1"/>
  <c r="W131" i="23" s="1"/>
  <c r="K121" i="23"/>
  <c r="O121" i="23"/>
  <c r="R121" i="23"/>
  <c r="N123" i="23"/>
  <c r="K129" i="23"/>
  <c r="O129" i="23"/>
  <c r="R129" i="23"/>
  <c r="N130" i="23"/>
  <c r="I140" i="17"/>
  <c r="Y159" i="9"/>
  <c r="M140" i="17" s="1"/>
  <c r="G95" i="9"/>
  <c r="G85" i="17" s="1"/>
  <c r="AK100" i="9"/>
  <c r="Y90" i="17" s="1"/>
  <c r="Y100" i="9"/>
  <c r="V100" i="9"/>
  <c r="J90" i="17" s="1"/>
  <c r="V95" i="9"/>
  <c r="J85" i="17" s="1"/>
  <c r="AC94" i="9"/>
  <c r="Q84" i="17" s="1"/>
  <c r="Z94" i="9"/>
  <c r="N84" i="17" s="1"/>
  <c r="I84" i="17"/>
  <c r="M84" i="17"/>
  <c r="G94" i="9"/>
  <c r="G84" i="17" s="1"/>
  <c r="V94" i="9"/>
  <c r="J84" i="17" s="1"/>
  <c r="F31" i="21"/>
  <c r="H31" i="21"/>
  <c r="K31" i="21"/>
  <c r="L31" i="21"/>
  <c r="O31" i="21"/>
  <c r="P31" i="21"/>
  <c r="S31" i="21"/>
  <c r="T31" i="21"/>
  <c r="W31" i="21"/>
  <c r="X31" i="21"/>
  <c r="Z31" i="21"/>
  <c r="U176" i="9"/>
  <c r="Y176" i="9" s="1"/>
  <c r="L87" i="9"/>
  <c r="F49" i="10"/>
  <c r="AC95" i="9" l="1"/>
  <c r="Q85" i="17" s="1"/>
  <c r="M85" i="17"/>
  <c r="R122" i="23"/>
  <c r="S122" i="23" s="1"/>
  <c r="R266" i="23"/>
  <c r="S266" i="23" s="1"/>
  <c r="S271" i="23"/>
  <c r="O270" i="23"/>
  <c r="R270" i="23"/>
  <c r="R269" i="23"/>
  <c r="O269" i="23"/>
  <c r="S263" i="23"/>
  <c r="V263" i="23"/>
  <c r="W263" i="23" s="1"/>
  <c r="S264" i="23"/>
  <c r="V264" i="23"/>
  <c r="W264" i="23" s="1"/>
  <c r="O265" i="23"/>
  <c r="R265" i="23"/>
  <c r="S272" i="23"/>
  <c r="V272" i="23"/>
  <c r="W272" i="23" s="1"/>
  <c r="AD203" i="9"/>
  <c r="R156" i="17" s="1"/>
  <c r="AG203" i="9"/>
  <c r="AG204" i="9"/>
  <c r="S131" i="23"/>
  <c r="O131" i="23"/>
  <c r="S121" i="23"/>
  <c r="V121" i="23"/>
  <c r="W121" i="23" s="1"/>
  <c r="R123" i="23"/>
  <c r="O123" i="23"/>
  <c r="O130" i="23"/>
  <c r="R130" i="23"/>
  <c r="S129" i="23"/>
  <c r="V129" i="23"/>
  <c r="W129" i="23" s="1"/>
  <c r="Z159" i="9"/>
  <c r="N140" i="17" s="1"/>
  <c r="AC159" i="9"/>
  <c r="Q140" i="17" s="1"/>
  <c r="AC100" i="9"/>
  <c r="Z100" i="9"/>
  <c r="N90" i="17" s="1"/>
  <c r="M90" i="17"/>
  <c r="AG94" i="9"/>
  <c r="AH94" i="9" s="1"/>
  <c r="V84" i="17" s="1"/>
  <c r="AD94" i="9"/>
  <c r="R84" i="17" s="1"/>
  <c r="AC176" i="9"/>
  <c r="M31" i="21"/>
  <c r="I31" i="21"/>
  <c r="Z79" i="17"/>
  <c r="X79" i="17"/>
  <c r="W79" i="17"/>
  <c r="T79" i="17"/>
  <c r="S79" i="17"/>
  <c r="P79" i="17"/>
  <c r="O79" i="17"/>
  <c r="L79" i="17"/>
  <c r="K79" i="17"/>
  <c r="H79" i="17"/>
  <c r="F79" i="17"/>
  <c r="E79" i="17"/>
  <c r="D79" i="17"/>
  <c r="C79" i="17"/>
  <c r="B79" i="17"/>
  <c r="C78" i="17"/>
  <c r="B78" i="17"/>
  <c r="U83" i="9"/>
  <c r="I79" i="17" s="1"/>
  <c r="AG95" i="9" l="1"/>
  <c r="U85" i="17" s="1"/>
  <c r="AD95" i="9"/>
  <c r="R85" i="17" s="1"/>
  <c r="AH203" i="9"/>
  <c r="V156" i="17" s="1"/>
  <c r="U156" i="17"/>
  <c r="V122" i="23"/>
  <c r="W122" i="23" s="1"/>
  <c r="U157" i="17"/>
  <c r="V266" i="23"/>
  <c r="W266" i="23" s="1"/>
  <c r="S270" i="23"/>
  <c r="V270" i="23"/>
  <c r="W270" i="23" s="1"/>
  <c r="S265" i="23"/>
  <c r="V265" i="23"/>
  <c r="W265" i="23" s="1"/>
  <c r="V269" i="23"/>
  <c r="W269" i="23" s="1"/>
  <c r="S269" i="23"/>
  <c r="V123" i="23"/>
  <c r="W123" i="23" s="1"/>
  <c r="S123" i="23"/>
  <c r="S130" i="23"/>
  <c r="V130" i="23"/>
  <c r="W130" i="23" s="1"/>
  <c r="AD159" i="9"/>
  <c r="R140" i="17" s="1"/>
  <c r="AG159" i="9"/>
  <c r="Q90" i="17"/>
  <c r="AD100" i="9"/>
  <c r="R90" i="17" s="1"/>
  <c r="AG100" i="9"/>
  <c r="U84" i="17"/>
  <c r="Q31" i="21"/>
  <c r="AG176" i="9"/>
  <c r="U31" i="21" s="1"/>
  <c r="C5" i="27"/>
  <c r="C5" i="17"/>
  <c r="C4" i="23"/>
  <c r="F6" i="9"/>
  <c r="F5" i="9"/>
  <c r="F4" i="9"/>
  <c r="F3" i="9"/>
  <c r="C7" i="9"/>
  <c r="C6" i="9"/>
  <c r="C5" i="9"/>
  <c r="C4" i="9"/>
  <c r="AH95" i="9" l="1"/>
  <c r="V85" i="17" s="1"/>
  <c r="AH159" i="9"/>
  <c r="V140" i="17" s="1"/>
  <c r="U140" i="17"/>
  <c r="AH100" i="9"/>
  <c r="V90" i="17" s="1"/>
  <c r="U90" i="17"/>
  <c r="C3" i="9"/>
  <c r="C3" i="24" l="1"/>
  <c r="C3" i="27"/>
  <c r="C3" i="21"/>
  <c r="C3" i="20"/>
  <c r="C3" i="19"/>
  <c r="C3" i="18"/>
  <c r="C3" i="17"/>
  <c r="L17" i="21"/>
  <c r="O17" i="21"/>
  <c r="P17" i="21"/>
  <c r="S17" i="21"/>
  <c r="T17" i="21"/>
  <c r="W17" i="21"/>
  <c r="X17" i="21"/>
  <c r="Z17" i="21"/>
  <c r="X16" i="21"/>
  <c r="T16" i="21"/>
  <c r="P16" i="21"/>
  <c r="L16" i="21"/>
  <c r="U168" i="9"/>
  <c r="H152" i="17" l="1"/>
  <c r="K152" i="17"/>
  <c r="L152" i="17"/>
  <c r="O152" i="17"/>
  <c r="P152" i="17"/>
  <c r="S152" i="17"/>
  <c r="T152" i="17"/>
  <c r="W152" i="17"/>
  <c r="X152" i="17"/>
  <c r="Z152" i="17"/>
  <c r="H153" i="17"/>
  <c r="K153" i="17"/>
  <c r="L153" i="17"/>
  <c r="O153" i="17"/>
  <c r="P153" i="17"/>
  <c r="S153" i="17"/>
  <c r="T153" i="17"/>
  <c r="W153" i="17"/>
  <c r="X153" i="17"/>
  <c r="Z153" i="17"/>
  <c r="H154" i="17"/>
  <c r="K154" i="17"/>
  <c r="L154" i="17"/>
  <c r="O154" i="17"/>
  <c r="P154" i="17"/>
  <c r="S154" i="17"/>
  <c r="T154" i="17"/>
  <c r="W154" i="17"/>
  <c r="X154" i="17"/>
  <c r="Z154" i="17"/>
  <c r="H155" i="17"/>
  <c r="K155" i="17"/>
  <c r="L155" i="17"/>
  <c r="O155" i="17"/>
  <c r="P155" i="17"/>
  <c r="S155" i="17"/>
  <c r="T155" i="17"/>
  <c r="W155" i="17"/>
  <c r="X155" i="17"/>
  <c r="Z155" i="17"/>
  <c r="H158" i="17"/>
  <c r="K158" i="17"/>
  <c r="L158" i="17"/>
  <c r="O158" i="17"/>
  <c r="P158" i="17"/>
  <c r="S158" i="17"/>
  <c r="T158" i="17"/>
  <c r="W158" i="17"/>
  <c r="X158" i="17"/>
  <c r="Z158" i="17"/>
  <c r="H159" i="17"/>
  <c r="K159" i="17"/>
  <c r="L159" i="17"/>
  <c r="O159" i="17"/>
  <c r="P159" i="17"/>
  <c r="S159" i="17"/>
  <c r="T159" i="17"/>
  <c r="W159" i="17"/>
  <c r="X159" i="17"/>
  <c r="Z159" i="17"/>
  <c r="H160" i="17"/>
  <c r="K160" i="17"/>
  <c r="L160" i="17"/>
  <c r="O160" i="17"/>
  <c r="P160" i="17"/>
  <c r="S160" i="17"/>
  <c r="T160" i="17"/>
  <c r="W160" i="17"/>
  <c r="X160" i="17"/>
  <c r="Z160" i="17"/>
  <c r="H161" i="17"/>
  <c r="K161" i="17"/>
  <c r="L161" i="17"/>
  <c r="O161" i="17"/>
  <c r="P161" i="17"/>
  <c r="S161" i="17"/>
  <c r="T161" i="17"/>
  <c r="W161" i="17"/>
  <c r="X161" i="17"/>
  <c r="Z161" i="17"/>
  <c r="H162" i="17"/>
  <c r="K162" i="17"/>
  <c r="L162" i="17"/>
  <c r="O162" i="17"/>
  <c r="P162" i="17"/>
  <c r="S162" i="17"/>
  <c r="T162" i="17"/>
  <c r="W162" i="17"/>
  <c r="X162" i="17"/>
  <c r="Z162" i="17"/>
  <c r="H163" i="17"/>
  <c r="K163" i="17"/>
  <c r="L163" i="17"/>
  <c r="O163" i="17"/>
  <c r="P163" i="17"/>
  <c r="S163" i="17"/>
  <c r="T163" i="17"/>
  <c r="W163" i="17"/>
  <c r="X163" i="17"/>
  <c r="Z163" i="17"/>
  <c r="H164" i="17"/>
  <c r="K164" i="17"/>
  <c r="L164" i="17"/>
  <c r="O164" i="17"/>
  <c r="P164" i="17"/>
  <c r="S164" i="17"/>
  <c r="T164" i="17"/>
  <c r="W164" i="17"/>
  <c r="X164" i="17"/>
  <c r="Z164" i="17"/>
  <c r="H165" i="17"/>
  <c r="K165" i="17"/>
  <c r="L165" i="17"/>
  <c r="O165" i="17"/>
  <c r="P165" i="17"/>
  <c r="S165" i="17"/>
  <c r="T165" i="17"/>
  <c r="W165" i="17"/>
  <c r="X165" i="17"/>
  <c r="Z165" i="17"/>
  <c r="F152" i="17"/>
  <c r="F153" i="17"/>
  <c r="F154" i="17"/>
  <c r="F155" i="17"/>
  <c r="F158" i="17"/>
  <c r="F159" i="17"/>
  <c r="F160" i="17"/>
  <c r="F162" i="17"/>
  <c r="F163" i="17"/>
  <c r="F164" i="17"/>
  <c r="F165" i="17"/>
  <c r="Z26" i="21" l="1"/>
  <c r="X26" i="21"/>
  <c r="W26" i="21"/>
  <c r="T26" i="21"/>
  <c r="S26" i="21"/>
  <c r="P26" i="21"/>
  <c r="O26" i="21"/>
  <c r="L26" i="21"/>
  <c r="K26" i="21"/>
  <c r="H26" i="21"/>
  <c r="F26" i="21"/>
  <c r="B26" i="21"/>
  <c r="C26" i="21"/>
  <c r="D26" i="21"/>
  <c r="E26" i="21"/>
  <c r="B168" i="9"/>
  <c r="C168" i="9"/>
  <c r="D168" i="9"/>
  <c r="E168" i="9"/>
  <c r="O168" i="9" s="1"/>
  <c r="G26" i="21" s="1"/>
  <c r="V168" i="9" l="1"/>
  <c r="J26" i="21" s="1"/>
  <c r="I26" i="21"/>
  <c r="Y168" i="9"/>
  <c r="AC168" i="9" s="1"/>
  <c r="Q26" i="21" s="1"/>
  <c r="AK168" i="9"/>
  <c r="Y26" i="21" s="1"/>
  <c r="H220" i="23"/>
  <c r="J220" i="23"/>
  <c r="K220" i="23" s="1"/>
  <c r="U170" i="9"/>
  <c r="C28" i="21"/>
  <c r="Z28" i="21"/>
  <c r="X28" i="21"/>
  <c r="W28" i="21"/>
  <c r="T28" i="21"/>
  <c r="S28" i="21"/>
  <c r="P28" i="21"/>
  <c r="O28" i="21"/>
  <c r="L28" i="21"/>
  <c r="K28" i="21"/>
  <c r="H28" i="21"/>
  <c r="F28" i="21"/>
  <c r="E28" i="21"/>
  <c r="D28" i="21"/>
  <c r="C27" i="21"/>
  <c r="B28" i="21"/>
  <c r="B27" i="21"/>
  <c r="D21" i="24"/>
  <c r="E21" i="24"/>
  <c r="F21" i="24"/>
  <c r="H21" i="24"/>
  <c r="K21" i="24"/>
  <c r="L21" i="24"/>
  <c r="O21" i="24"/>
  <c r="P21" i="24"/>
  <c r="S21" i="24"/>
  <c r="T21" i="24"/>
  <c r="W21" i="24"/>
  <c r="X21" i="24"/>
  <c r="Z21" i="24"/>
  <c r="D22" i="24"/>
  <c r="E22" i="24"/>
  <c r="F22" i="24"/>
  <c r="H22" i="24"/>
  <c r="K22" i="24"/>
  <c r="L22" i="24"/>
  <c r="O22" i="24"/>
  <c r="P22" i="24"/>
  <c r="S22" i="24"/>
  <c r="T22" i="24"/>
  <c r="W22" i="24"/>
  <c r="X22" i="24"/>
  <c r="Z22" i="24"/>
  <c r="C21" i="24"/>
  <c r="C22" i="24"/>
  <c r="B22" i="24"/>
  <c r="B21" i="24"/>
  <c r="C20" i="24"/>
  <c r="B20" i="24"/>
  <c r="U178" i="9"/>
  <c r="I22" i="24" s="1"/>
  <c r="U177" i="9"/>
  <c r="I21" i="24" s="1"/>
  <c r="Z16" i="21"/>
  <c r="W16" i="21"/>
  <c r="S16" i="21"/>
  <c r="O16" i="21"/>
  <c r="K17" i="21"/>
  <c r="K16" i="21"/>
  <c r="Z14" i="24"/>
  <c r="W14" i="24"/>
  <c r="S14" i="24"/>
  <c r="O14" i="24"/>
  <c r="O14" i="27"/>
  <c r="K14" i="24"/>
  <c r="Z14" i="27"/>
  <c r="W14" i="27"/>
  <c r="S14" i="27"/>
  <c r="K14" i="27"/>
  <c r="Z14" i="21"/>
  <c r="W14" i="21"/>
  <c r="S14" i="21"/>
  <c r="O14" i="21"/>
  <c r="K14" i="21"/>
  <c r="Z14" i="20"/>
  <c r="W14" i="20"/>
  <c r="S14" i="20"/>
  <c r="O14" i="20"/>
  <c r="K14" i="20"/>
  <c r="Z14" i="19"/>
  <c r="W14" i="19"/>
  <c r="S14" i="19"/>
  <c r="O14" i="19"/>
  <c r="K14" i="19"/>
  <c r="Z14" i="18"/>
  <c r="W14" i="18"/>
  <c r="S14" i="18"/>
  <c r="O14" i="18"/>
  <c r="K14" i="18"/>
  <c r="U175" i="9"/>
  <c r="H17" i="21"/>
  <c r="H16" i="21"/>
  <c r="F17" i="21"/>
  <c r="F16" i="21"/>
  <c r="E17" i="21"/>
  <c r="E16" i="21"/>
  <c r="D17" i="21"/>
  <c r="D16" i="21"/>
  <c r="C17" i="21"/>
  <c r="C16" i="21"/>
  <c r="B17" i="21"/>
  <c r="B16" i="21"/>
  <c r="C15" i="21"/>
  <c r="B15" i="21"/>
  <c r="U73" i="9"/>
  <c r="Y73" i="9" s="1"/>
  <c r="M17" i="21" s="1"/>
  <c r="U72" i="9"/>
  <c r="I16" i="21" s="1"/>
  <c r="Z168" i="9" l="1"/>
  <c r="N26" i="21" s="1"/>
  <c r="M26" i="21"/>
  <c r="AG168" i="9"/>
  <c r="AD168" i="9"/>
  <c r="R26" i="21" s="1"/>
  <c r="N220" i="23"/>
  <c r="I17" i="21"/>
  <c r="AH168" i="9" l="1"/>
  <c r="V26" i="21" s="1"/>
  <c r="U26" i="21"/>
  <c r="R220" i="23"/>
  <c r="O220" i="23"/>
  <c r="D196" i="17"/>
  <c r="F196" i="17"/>
  <c r="B195" i="17"/>
  <c r="C195" i="17"/>
  <c r="D195" i="17"/>
  <c r="E195" i="17"/>
  <c r="H195" i="17"/>
  <c r="K195" i="17"/>
  <c r="L195" i="17"/>
  <c r="O195" i="17"/>
  <c r="P195" i="17"/>
  <c r="S195" i="17"/>
  <c r="T195" i="17"/>
  <c r="W195" i="17"/>
  <c r="X195" i="17"/>
  <c r="Z195" i="17"/>
  <c r="B196" i="17"/>
  <c r="C196" i="17"/>
  <c r="E196" i="17"/>
  <c r="H196" i="17"/>
  <c r="K196" i="17"/>
  <c r="L196" i="17"/>
  <c r="O196" i="17"/>
  <c r="P196" i="17"/>
  <c r="S196" i="17"/>
  <c r="T196" i="17"/>
  <c r="W196" i="17"/>
  <c r="X196" i="17"/>
  <c r="Z196" i="17"/>
  <c r="U242" i="9"/>
  <c r="I195" i="17" s="1"/>
  <c r="U243" i="9"/>
  <c r="B242" i="9"/>
  <c r="C242" i="9"/>
  <c r="D242" i="9"/>
  <c r="E242" i="9"/>
  <c r="AK242" i="9" s="1"/>
  <c r="Y195" i="17" s="1"/>
  <c r="B243" i="9"/>
  <c r="C243" i="9"/>
  <c r="D243" i="9"/>
  <c r="E243" i="9"/>
  <c r="G243" i="9" s="1"/>
  <c r="H223" i="23"/>
  <c r="J223" i="23"/>
  <c r="K223" i="23" s="1"/>
  <c r="H224" i="23"/>
  <c r="J224" i="23"/>
  <c r="K224" i="23" s="1"/>
  <c r="H225" i="23"/>
  <c r="J225" i="23"/>
  <c r="K225" i="23" s="1"/>
  <c r="H226" i="23"/>
  <c r="J226" i="23"/>
  <c r="N226" i="23" s="1"/>
  <c r="H227" i="23"/>
  <c r="J227" i="23"/>
  <c r="K227" i="23" s="1"/>
  <c r="H229" i="23"/>
  <c r="J229" i="23"/>
  <c r="N229" i="23" s="1"/>
  <c r="H214" i="23"/>
  <c r="H215" i="23"/>
  <c r="H216" i="23"/>
  <c r="H217" i="23"/>
  <c r="H218" i="23"/>
  <c r="H219" i="23"/>
  <c r="H221" i="23"/>
  <c r="H222" i="23"/>
  <c r="H213" i="23"/>
  <c r="J212" i="23"/>
  <c r="K212" i="23" s="1"/>
  <c r="J213" i="23"/>
  <c r="K213" i="23" s="1"/>
  <c r="J214" i="23"/>
  <c r="N214" i="23" s="1"/>
  <c r="O214" i="23" s="1"/>
  <c r="J215" i="23"/>
  <c r="K215" i="23" s="1"/>
  <c r="J216" i="23"/>
  <c r="N216" i="23" s="1"/>
  <c r="O216" i="23" s="1"/>
  <c r="J217" i="23"/>
  <c r="N217" i="23" s="1"/>
  <c r="O217" i="23" s="1"/>
  <c r="J218" i="23"/>
  <c r="K218" i="23" s="1"/>
  <c r="J219" i="23"/>
  <c r="K219" i="23" s="1"/>
  <c r="J221" i="23"/>
  <c r="K221" i="23" s="1"/>
  <c r="J222" i="23"/>
  <c r="K222" i="23" s="1"/>
  <c r="H212" i="23"/>
  <c r="G196" i="17" l="1"/>
  <c r="K216" i="23"/>
  <c r="N219" i="23"/>
  <c r="O219" i="23" s="1"/>
  <c r="N213" i="23"/>
  <c r="O213" i="23" s="1"/>
  <c r="K217" i="23"/>
  <c r="K229" i="23"/>
  <c r="N222" i="23"/>
  <c r="O222" i="23" s="1"/>
  <c r="N218" i="23"/>
  <c r="O218" i="23" s="1"/>
  <c r="K214" i="23"/>
  <c r="N227" i="23"/>
  <c r="O227" i="23" s="1"/>
  <c r="AK243" i="9"/>
  <c r="Y196" i="17" s="1"/>
  <c r="V243" i="9"/>
  <c r="J196" i="17" s="1"/>
  <c r="V242" i="9"/>
  <c r="J195" i="17" s="1"/>
  <c r="S220" i="23"/>
  <c r="V220" i="23"/>
  <c r="W220" i="23" s="1"/>
  <c r="Y243" i="9"/>
  <c r="I196" i="17"/>
  <c r="Y242" i="9"/>
  <c r="M195" i="17" s="1"/>
  <c r="N215" i="23"/>
  <c r="O215" i="23" s="1"/>
  <c r="N212" i="23"/>
  <c r="O212" i="23" s="1"/>
  <c r="N221" i="23"/>
  <c r="O221" i="23" s="1"/>
  <c r="K226" i="23"/>
  <c r="R226" i="23"/>
  <c r="S226" i="23" s="1"/>
  <c r="O226" i="23"/>
  <c r="N225" i="23"/>
  <c r="O229" i="23"/>
  <c r="R229" i="23"/>
  <c r="N224" i="23"/>
  <c r="N223" i="23"/>
  <c r="R217" i="23"/>
  <c r="R216" i="23"/>
  <c r="R214" i="23"/>
  <c r="R219" i="23" l="1"/>
  <c r="V219" i="23" s="1"/>
  <c r="W219" i="23" s="1"/>
  <c r="R213" i="23"/>
  <c r="S213" i="23" s="1"/>
  <c r="R222" i="23"/>
  <c r="S222" i="23" s="1"/>
  <c r="V226" i="23"/>
  <c r="W226" i="23" s="1"/>
  <c r="R227" i="23"/>
  <c r="S227" i="23" s="1"/>
  <c r="R215" i="23"/>
  <c r="S215" i="23" s="1"/>
  <c r="R218" i="23"/>
  <c r="S218" i="23" s="1"/>
  <c r="R212" i="23"/>
  <c r="V212" i="23" s="1"/>
  <c r="W212" i="23" s="1"/>
  <c r="Z243" i="9"/>
  <c r="N196" i="17" s="1"/>
  <c r="AC243" i="9"/>
  <c r="M196" i="17"/>
  <c r="Z242" i="9"/>
  <c r="N195" i="17" s="1"/>
  <c r="AC242" i="9"/>
  <c r="Q195" i="17" s="1"/>
  <c r="R221" i="23"/>
  <c r="S221" i="23" s="1"/>
  <c r="R225" i="23"/>
  <c r="O225" i="23"/>
  <c r="O223" i="23"/>
  <c r="R223" i="23"/>
  <c r="O224" i="23"/>
  <c r="R224" i="23"/>
  <c r="S229" i="23"/>
  <c r="V229" i="23"/>
  <c r="W229" i="23" s="1"/>
  <c r="S217" i="23"/>
  <c r="V217" i="23"/>
  <c r="W217" i="23" s="1"/>
  <c r="S214" i="23"/>
  <c r="V214" i="23"/>
  <c r="W214" i="23" s="1"/>
  <c r="S216" i="23"/>
  <c r="V216" i="23"/>
  <c r="W216" i="23" s="1"/>
  <c r="S219" i="23" l="1"/>
  <c r="V213" i="23"/>
  <c r="W213" i="23" s="1"/>
  <c r="V222" i="23"/>
  <c r="W222" i="23" s="1"/>
  <c r="V218" i="23"/>
  <c r="W218" i="23" s="1"/>
  <c r="S212" i="23"/>
  <c r="V215" i="23"/>
  <c r="W215" i="23" s="1"/>
  <c r="V221" i="23"/>
  <c r="W221" i="23" s="1"/>
  <c r="V227" i="23"/>
  <c r="W227" i="23" s="1"/>
  <c r="Q196" i="17"/>
  <c r="AD243" i="9"/>
  <c r="R196" i="17" s="1"/>
  <c r="AG243" i="9"/>
  <c r="AG242" i="9"/>
  <c r="AD242" i="9"/>
  <c r="R195" i="17" s="1"/>
  <c r="S225" i="23"/>
  <c r="V225" i="23"/>
  <c r="W225" i="23" s="1"/>
  <c r="V223" i="23"/>
  <c r="W223" i="23" s="1"/>
  <c r="S223" i="23"/>
  <c r="V224" i="23"/>
  <c r="W224" i="23" s="1"/>
  <c r="S224" i="23"/>
  <c r="AH242" i="9" l="1"/>
  <c r="V195" i="17" s="1"/>
  <c r="U195" i="17"/>
  <c r="AH243" i="9"/>
  <c r="V196" i="17" s="1"/>
  <c r="U196" i="17"/>
  <c r="F17" i="19"/>
  <c r="G30" i="25" l="1"/>
  <c r="G24" i="25"/>
  <c r="I30" i="25" l="1"/>
  <c r="I24" i="25"/>
  <c r="F14" i="24" l="1"/>
  <c r="F14" i="27"/>
  <c r="F14" i="21"/>
  <c r="B17" i="20"/>
  <c r="C17" i="20"/>
  <c r="D17" i="20"/>
  <c r="E17" i="20"/>
  <c r="F17" i="20"/>
  <c r="H17" i="20"/>
  <c r="K17" i="20"/>
  <c r="L17" i="20"/>
  <c r="O17" i="20"/>
  <c r="P17" i="20"/>
  <c r="S17" i="20"/>
  <c r="T17" i="20"/>
  <c r="W17" i="20"/>
  <c r="X17" i="20"/>
  <c r="Z17" i="20"/>
  <c r="F14" i="20"/>
  <c r="F14" i="19"/>
  <c r="F14" i="18"/>
  <c r="I14" i="18" s="1"/>
  <c r="B194" i="17"/>
  <c r="C194" i="17"/>
  <c r="D194" i="17"/>
  <c r="E194" i="17"/>
  <c r="H194" i="17"/>
  <c r="K194" i="17"/>
  <c r="L194" i="17"/>
  <c r="O194" i="17"/>
  <c r="P194" i="17"/>
  <c r="S194" i="17"/>
  <c r="T194" i="17"/>
  <c r="W194" i="17"/>
  <c r="X194" i="17"/>
  <c r="Z194" i="17"/>
  <c r="B177" i="17"/>
  <c r="C177" i="17"/>
  <c r="D177" i="17"/>
  <c r="E177" i="17"/>
  <c r="F177" i="17"/>
  <c r="H177" i="17"/>
  <c r="K177" i="17"/>
  <c r="L177" i="17"/>
  <c r="O177" i="17"/>
  <c r="P177" i="17"/>
  <c r="S177" i="17"/>
  <c r="T177" i="17"/>
  <c r="W177" i="17"/>
  <c r="X177" i="17"/>
  <c r="Z177" i="17"/>
  <c r="B178" i="17"/>
  <c r="C178" i="17"/>
  <c r="D178" i="17"/>
  <c r="E178" i="17"/>
  <c r="F178" i="17"/>
  <c r="H178" i="17"/>
  <c r="K178" i="17"/>
  <c r="L178" i="17"/>
  <c r="O178" i="17"/>
  <c r="P178" i="17"/>
  <c r="S178" i="17"/>
  <c r="T178" i="17"/>
  <c r="W178" i="17"/>
  <c r="X178" i="17"/>
  <c r="Z178" i="17"/>
  <c r="C165" i="17"/>
  <c r="D165" i="17"/>
  <c r="E165" i="17"/>
  <c r="C56" i="17"/>
  <c r="B56" i="17"/>
  <c r="B55" i="17"/>
  <c r="C55" i="17"/>
  <c r="D55" i="17"/>
  <c r="E55" i="17"/>
  <c r="U15" i="9"/>
  <c r="B241" i="9"/>
  <c r="C241" i="9"/>
  <c r="D241" i="9"/>
  <c r="E241" i="9"/>
  <c r="AK241" i="9" s="1"/>
  <c r="Y194" i="17" s="1"/>
  <c r="U241" i="9"/>
  <c r="B224" i="9"/>
  <c r="C224" i="9"/>
  <c r="D224" i="9"/>
  <c r="E224" i="9"/>
  <c r="AK224" i="9" s="1"/>
  <c r="Y177" i="17" s="1"/>
  <c r="U224" i="9"/>
  <c r="Y224" i="9" s="1"/>
  <c r="M177" i="17" s="1"/>
  <c r="B225" i="9"/>
  <c r="C225" i="9"/>
  <c r="D225" i="9"/>
  <c r="E225" i="9"/>
  <c r="G225" i="9" s="1"/>
  <c r="G178" i="17" s="1"/>
  <c r="U225" i="9"/>
  <c r="I178" i="17" s="1"/>
  <c r="B226" i="9"/>
  <c r="C226" i="9"/>
  <c r="D226" i="9"/>
  <c r="E226" i="9"/>
  <c r="G226" i="9" s="1"/>
  <c r="U226" i="9"/>
  <c r="B83" i="9"/>
  <c r="C83" i="9"/>
  <c r="D83" i="9"/>
  <c r="E83" i="9"/>
  <c r="Y83" i="9"/>
  <c r="M79" i="17" s="1"/>
  <c r="C57" i="9"/>
  <c r="B57" i="9"/>
  <c r="B56" i="9"/>
  <c r="C56" i="9"/>
  <c r="D56" i="9"/>
  <c r="E56" i="9"/>
  <c r="AK56" i="9" l="1"/>
  <c r="Y55" i="17" s="1"/>
  <c r="V56" i="9"/>
  <c r="J55" i="17" s="1"/>
  <c r="Z56" i="9"/>
  <c r="AD56" i="9"/>
  <c r="AH56" i="9"/>
  <c r="M55" i="17"/>
  <c r="I55" i="17"/>
  <c r="AK83" i="9"/>
  <c r="Y79" i="17" s="1"/>
  <c r="G83" i="9"/>
  <c r="G81" i="9" s="1"/>
  <c r="V241" i="9"/>
  <c r="J194" i="17" s="1"/>
  <c r="G224" i="9"/>
  <c r="G177" i="17" s="1"/>
  <c r="Y225" i="9"/>
  <c r="I194" i="17"/>
  <c r="V83" i="9"/>
  <c r="J79" i="17" s="1"/>
  <c r="I177" i="17"/>
  <c r="Y241" i="9"/>
  <c r="Z241" i="9" s="1"/>
  <c r="N194" i="17" s="1"/>
  <c r="V224" i="9"/>
  <c r="J177" i="17" s="1"/>
  <c r="AK226" i="9"/>
  <c r="V226" i="9"/>
  <c r="AC224" i="9"/>
  <c r="Q177" i="17" s="1"/>
  <c r="Z224" i="9"/>
  <c r="N177" i="17" s="1"/>
  <c r="Y226" i="9"/>
  <c r="AK225" i="9"/>
  <c r="Y178" i="17" s="1"/>
  <c r="V225" i="9"/>
  <c r="J178" i="17" s="1"/>
  <c r="AC83" i="9"/>
  <c r="Q79" i="17" s="1"/>
  <c r="Z83" i="9"/>
  <c r="N79" i="17" s="1"/>
  <c r="G56" i="9"/>
  <c r="G55" i="17" s="1"/>
  <c r="N55" i="17" l="1"/>
  <c r="Q55" i="17"/>
  <c r="R55" i="17"/>
  <c r="G79" i="17"/>
  <c r="AC241" i="9"/>
  <c r="AD241" i="9" s="1"/>
  <c r="R194" i="17" s="1"/>
  <c r="M194" i="17"/>
  <c r="AC225" i="9"/>
  <c r="M178" i="17"/>
  <c r="AD83" i="9"/>
  <c r="R79" i="17" s="1"/>
  <c r="Z225" i="9"/>
  <c r="N178" i="17" s="1"/>
  <c r="Z226" i="9"/>
  <c r="AC226" i="9"/>
  <c r="AD224" i="9"/>
  <c r="R177" i="17" s="1"/>
  <c r="AG224" i="9"/>
  <c r="AG83" i="9"/>
  <c r="U79" i="17" s="1"/>
  <c r="V55" i="17" l="1"/>
  <c r="U55" i="17"/>
  <c r="AH224" i="9"/>
  <c r="V177" i="17" s="1"/>
  <c r="U177" i="17"/>
  <c r="Q178" i="17"/>
  <c r="AD225" i="9"/>
  <c r="R178" i="17" s="1"/>
  <c r="AG225" i="9"/>
  <c r="AH83" i="9"/>
  <c r="V79" i="17" s="1"/>
  <c r="AG241" i="9"/>
  <c r="Q194" i="17"/>
  <c r="AD226" i="9"/>
  <c r="AG226" i="9"/>
  <c r="AH226" i="9" s="1"/>
  <c r="AH225" i="9" l="1"/>
  <c r="V178" i="17" s="1"/>
  <c r="U178" i="17"/>
  <c r="AH241" i="9"/>
  <c r="V194" i="17" s="1"/>
  <c r="U194" i="17"/>
  <c r="U199" i="9"/>
  <c r="U200" i="9"/>
  <c r="I153" i="17" s="1"/>
  <c r="B199" i="9"/>
  <c r="C199" i="9"/>
  <c r="D199" i="9"/>
  <c r="E199" i="9"/>
  <c r="B152" i="17"/>
  <c r="C152" i="17"/>
  <c r="D152" i="17"/>
  <c r="E152" i="17"/>
  <c r="B153" i="17"/>
  <c r="C153" i="17"/>
  <c r="D153" i="17"/>
  <c r="E153" i="17"/>
  <c r="H199" i="25"/>
  <c r="H198" i="25"/>
  <c r="H197" i="25"/>
  <c r="H111" i="23"/>
  <c r="J111" i="23"/>
  <c r="K111" i="23" s="1"/>
  <c r="H112" i="23"/>
  <c r="J112" i="23"/>
  <c r="K112" i="23" s="1"/>
  <c r="H113" i="23"/>
  <c r="J113" i="23"/>
  <c r="N113" i="23" s="1"/>
  <c r="H114" i="23"/>
  <c r="J114" i="23"/>
  <c r="K114" i="23" s="1"/>
  <c r="N114" i="23" l="1"/>
  <c r="O114" i="23" s="1"/>
  <c r="Y199" i="9"/>
  <c r="M152" i="17" s="1"/>
  <c r="I152" i="17"/>
  <c r="N112" i="23"/>
  <c r="N111" i="23"/>
  <c r="K113" i="23"/>
  <c r="V199" i="9"/>
  <c r="J152" i="17" s="1"/>
  <c r="AK199" i="9"/>
  <c r="Y152" i="17" s="1"/>
  <c r="G199" i="9"/>
  <c r="G152" i="17" s="1"/>
  <c r="Y200" i="9"/>
  <c r="M153" i="17" s="1"/>
  <c r="O113" i="23"/>
  <c r="R113" i="23"/>
  <c r="L1" i="22"/>
  <c r="K1" i="22"/>
  <c r="I34" i="10"/>
  <c r="I33" i="10"/>
  <c r="I36" i="10"/>
  <c r="I35" i="10"/>
  <c r="I37" i="10"/>
  <c r="I38" i="10"/>
  <c r="I39" i="10" l="1"/>
  <c r="R114" i="23"/>
  <c r="S114" i="23" s="1"/>
  <c r="AC199" i="9"/>
  <c r="Q152" i="17" s="1"/>
  <c r="Z199" i="9"/>
  <c r="N152" i="17" s="1"/>
  <c r="O111" i="23"/>
  <c r="R111" i="23"/>
  <c r="R112" i="23"/>
  <c r="O112" i="23"/>
  <c r="F20" i="23"/>
  <c r="J20" i="23" s="1"/>
  <c r="N20" i="23" s="1"/>
  <c r="O20" i="23" s="1"/>
  <c r="F23" i="23"/>
  <c r="J23" i="23" s="1"/>
  <c r="N23" i="23" s="1"/>
  <c r="F24" i="23"/>
  <c r="J24" i="23" s="1"/>
  <c r="N24" i="23" s="1"/>
  <c r="O24" i="23" s="1"/>
  <c r="F19" i="23"/>
  <c r="F22" i="23"/>
  <c r="H22" i="23" s="1"/>
  <c r="F21" i="23"/>
  <c r="J21" i="23" s="1"/>
  <c r="N21" i="23" s="1"/>
  <c r="R21" i="23" s="1"/>
  <c r="AC200" i="9"/>
  <c r="Q153" i="17" s="1"/>
  <c r="V113" i="23"/>
  <c r="W113" i="23" s="1"/>
  <c r="S113" i="23"/>
  <c r="J110" i="23"/>
  <c r="N110" i="23" s="1"/>
  <c r="H110" i="23"/>
  <c r="J109" i="23"/>
  <c r="N109" i="23" s="1"/>
  <c r="H109" i="23"/>
  <c r="J108" i="23"/>
  <c r="K108" i="23" s="1"/>
  <c r="H108" i="23"/>
  <c r="F145" i="17"/>
  <c r="H145" i="17"/>
  <c r="K145" i="17"/>
  <c r="L145" i="17"/>
  <c r="O145" i="17"/>
  <c r="P145" i="17"/>
  <c r="S145" i="17"/>
  <c r="T145" i="17"/>
  <c r="W145" i="17"/>
  <c r="X145" i="17"/>
  <c r="Z145" i="17"/>
  <c r="F146" i="17"/>
  <c r="H146" i="17"/>
  <c r="K146" i="17"/>
  <c r="L146" i="17"/>
  <c r="O146" i="17"/>
  <c r="P146" i="17"/>
  <c r="S146" i="17"/>
  <c r="T146" i="17"/>
  <c r="W146" i="17"/>
  <c r="X146" i="17"/>
  <c r="Z146" i="17"/>
  <c r="F147" i="17"/>
  <c r="H147" i="17"/>
  <c r="K147" i="17"/>
  <c r="L147" i="17"/>
  <c r="O147" i="17"/>
  <c r="P147" i="17"/>
  <c r="S147" i="17"/>
  <c r="T147" i="17"/>
  <c r="W147" i="17"/>
  <c r="X147" i="17"/>
  <c r="Z147" i="17"/>
  <c r="F148" i="17"/>
  <c r="H148" i="17"/>
  <c r="K148" i="17"/>
  <c r="L148" i="17"/>
  <c r="O148" i="17"/>
  <c r="P148" i="17"/>
  <c r="S148" i="17"/>
  <c r="T148" i="17"/>
  <c r="W148" i="17"/>
  <c r="X148" i="17"/>
  <c r="Z148" i="17"/>
  <c r="Z142" i="17"/>
  <c r="X142" i="17"/>
  <c r="W142" i="17"/>
  <c r="T142" i="17"/>
  <c r="S142" i="17"/>
  <c r="P142" i="17"/>
  <c r="O142" i="17"/>
  <c r="L142" i="17"/>
  <c r="K142" i="17"/>
  <c r="H142" i="17"/>
  <c r="C141" i="17"/>
  <c r="C142" i="17"/>
  <c r="C143" i="17"/>
  <c r="C144" i="17"/>
  <c r="C145" i="17"/>
  <c r="C146" i="17"/>
  <c r="C147" i="17"/>
  <c r="C148" i="17"/>
  <c r="B141" i="17"/>
  <c r="B142" i="17"/>
  <c r="B143" i="17"/>
  <c r="B144" i="17"/>
  <c r="B145" i="17"/>
  <c r="B146" i="17"/>
  <c r="B147" i="17"/>
  <c r="B148" i="17"/>
  <c r="V114" i="23" l="1"/>
  <c r="W114" i="23" s="1"/>
  <c r="AG199" i="9"/>
  <c r="AH199" i="9" s="1"/>
  <c r="V152" i="17" s="1"/>
  <c r="AD199" i="9"/>
  <c r="R152" i="17" s="1"/>
  <c r="R24" i="23"/>
  <c r="V24" i="23" s="1"/>
  <c r="W24" i="23" s="1"/>
  <c r="S112" i="23"/>
  <c r="V112" i="23"/>
  <c r="W112" i="23" s="1"/>
  <c r="V111" i="23"/>
  <c r="W111" i="23" s="1"/>
  <c r="S111" i="23"/>
  <c r="K24" i="23"/>
  <c r="H24" i="23"/>
  <c r="O23" i="23"/>
  <c r="R23" i="23"/>
  <c r="S23" i="23" s="1"/>
  <c r="H23" i="23"/>
  <c r="K23" i="23"/>
  <c r="R20" i="23"/>
  <c r="V20" i="23" s="1"/>
  <c r="W20" i="23" s="1"/>
  <c r="K20" i="23"/>
  <c r="K21" i="23"/>
  <c r="H19" i="23"/>
  <c r="J19" i="23"/>
  <c r="H21" i="23"/>
  <c r="J22" i="23"/>
  <c r="K22" i="23" s="1"/>
  <c r="H20" i="23"/>
  <c r="AG200" i="9"/>
  <c r="U153" i="17" s="1"/>
  <c r="O21" i="23"/>
  <c r="S21" i="23"/>
  <c r="V21" i="23"/>
  <c r="W21" i="23" s="1"/>
  <c r="R110" i="23"/>
  <c r="O110" i="23"/>
  <c r="R109" i="23"/>
  <c r="O109" i="23"/>
  <c r="N108" i="23"/>
  <c r="K109" i="23"/>
  <c r="K110" i="23"/>
  <c r="H94" i="17"/>
  <c r="K94" i="17"/>
  <c r="L94" i="17"/>
  <c r="O94" i="17"/>
  <c r="P94" i="17"/>
  <c r="S94" i="17"/>
  <c r="T94" i="17"/>
  <c r="W94" i="17"/>
  <c r="X94" i="17"/>
  <c r="Z94" i="17"/>
  <c r="H95" i="17"/>
  <c r="K95" i="17"/>
  <c r="L95" i="17"/>
  <c r="O95" i="17"/>
  <c r="P95" i="17"/>
  <c r="S95" i="17"/>
  <c r="T95" i="17"/>
  <c r="W95" i="17"/>
  <c r="X95" i="17"/>
  <c r="Z95" i="17"/>
  <c r="B17" i="19"/>
  <c r="C17" i="19"/>
  <c r="D17" i="19"/>
  <c r="E17" i="19"/>
  <c r="H17" i="19"/>
  <c r="K17" i="19"/>
  <c r="L17" i="19"/>
  <c r="O17" i="19"/>
  <c r="P17" i="19"/>
  <c r="S17" i="19"/>
  <c r="T17" i="19"/>
  <c r="W17" i="19"/>
  <c r="X17" i="19"/>
  <c r="Z17" i="19"/>
  <c r="B18" i="19"/>
  <c r="C18" i="19"/>
  <c r="D18" i="19"/>
  <c r="E18" i="19"/>
  <c r="H18" i="19"/>
  <c r="K18" i="19"/>
  <c r="L18" i="19"/>
  <c r="O18" i="19"/>
  <c r="P18" i="19"/>
  <c r="S18" i="19"/>
  <c r="T18" i="19"/>
  <c r="W18" i="19"/>
  <c r="X18" i="19"/>
  <c r="Z18" i="19"/>
  <c r="B19" i="19"/>
  <c r="C19" i="19"/>
  <c r="D19" i="19"/>
  <c r="E19" i="19"/>
  <c r="H19" i="19"/>
  <c r="K19" i="19"/>
  <c r="L19" i="19"/>
  <c r="O19" i="19"/>
  <c r="P19" i="19"/>
  <c r="S19" i="19"/>
  <c r="T19" i="19"/>
  <c r="W19" i="19"/>
  <c r="X19" i="19"/>
  <c r="Z19" i="19"/>
  <c r="B20" i="19"/>
  <c r="C20" i="19"/>
  <c r="D20" i="19"/>
  <c r="E20" i="19"/>
  <c r="H20" i="19"/>
  <c r="K20" i="19"/>
  <c r="L20" i="19"/>
  <c r="O20" i="19"/>
  <c r="P20" i="19"/>
  <c r="S20" i="19"/>
  <c r="T20" i="19"/>
  <c r="W20" i="19"/>
  <c r="X20" i="19"/>
  <c r="Z20" i="19"/>
  <c r="B21" i="19"/>
  <c r="C21" i="19"/>
  <c r="D21" i="19"/>
  <c r="E21" i="19"/>
  <c r="H21" i="19"/>
  <c r="K21" i="19"/>
  <c r="L21" i="19"/>
  <c r="O21" i="19"/>
  <c r="P21" i="19"/>
  <c r="S21" i="19"/>
  <c r="T21" i="19"/>
  <c r="W21" i="19"/>
  <c r="X21" i="19"/>
  <c r="Z21" i="19"/>
  <c r="B22" i="19"/>
  <c r="C22" i="19"/>
  <c r="D22" i="19"/>
  <c r="E22" i="19"/>
  <c r="H22" i="19"/>
  <c r="K22" i="19"/>
  <c r="L22" i="19"/>
  <c r="O22" i="19"/>
  <c r="P22" i="19"/>
  <c r="S22" i="19"/>
  <c r="T22" i="19"/>
  <c r="W22" i="19"/>
  <c r="X22" i="19"/>
  <c r="Z22" i="19"/>
  <c r="B23" i="19"/>
  <c r="C23" i="19"/>
  <c r="D23" i="19"/>
  <c r="E23" i="19"/>
  <c r="H23" i="19"/>
  <c r="K23" i="19"/>
  <c r="L23" i="19"/>
  <c r="O23" i="19"/>
  <c r="P23" i="19"/>
  <c r="S23" i="19"/>
  <c r="T23" i="19"/>
  <c r="W23" i="19"/>
  <c r="X23" i="19"/>
  <c r="Z23" i="19"/>
  <c r="U117" i="9"/>
  <c r="I17" i="19" s="1"/>
  <c r="B117" i="9"/>
  <c r="C117" i="9"/>
  <c r="D117" i="9"/>
  <c r="E117" i="9"/>
  <c r="B118" i="9"/>
  <c r="C118" i="9"/>
  <c r="D118" i="9"/>
  <c r="E118" i="9"/>
  <c r="AK118" i="9" s="1"/>
  <c r="Y18" i="19" s="1"/>
  <c r="B119" i="9"/>
  <c r="C119" i="9"/>
  <c r="D119" i="9"/>
  <c r="E119" i="9"/>
  <c r="AK119" i="9" s="1"/>
  <c r="Y19" i="19" s="1"/>
  <c r="B120" i="9"/>
  <c r="C120" i="9"/>
  <c r="D120" i="9"/>
  <c r="E120" i="9"/>
  <c r="AK120" i="9" s="1"/>
  <c r="Y20" i="19" s="1"/>
  <c r="B121" i="9"/>
  <c r="C121" i="9"/>
  <c r="D121" i="9"/>
  <c r="E121" i="9"/>
  <c r="AK121" i="9" s="1"/>
  <c r="Y21" i="19" s="1"/>
  <c r="B122" i="9"/>
  <c r="C122" i="9"/>
  <c r="D122" i="9"/>
  <c r="E122" i="9"/>
  <c r="AK122" i="9" s="1"/>
  <c r="Y22" i="19" s="1"/>
  <c r="B123" i="9"/>
  <c r="C123" i="9"/>
  <c r="D123" i="9"/>
  <c r="E123" i="9"/>
  <c r="AK123" i="9" s="1"/>
  <c r="Y23" i="19" s="1"/>
  <c r="U152" i="17" l="1"/>
  <c r="S24" i="23"/>
  <c r="AK117" i="9"/>
  <c r="Y17" i="19" s="1"/>
  <c r="K117" i="9"/>
  <c r="G17" i="19" s="1"/>
  <c r="V23" i="23"/>
  <c r="W23" i="23" s="1"/>
  <c r="S20" i="23"/>
  <c r="N19" i="23"/>
  <c r="K19" i="23"/>
  <c r="N22" i="23"/>
  <c r="O22" i="23" s="1"/>
  <c r="V110" i="23"/>
  <c r="W110" i="23" s="1"/>
  <c r="S110" i="23"/>
  <c r="R108" i="23"/>
  <c r="O108" i="23"/>
  <c r="S109" i="23"/>
  <c r="V109" i="23"/>
  <c r="W109" i="23" s="1"/>
  <c r="Y117" i="9"/>
  <c r="M17" i="19" s="1"/>
  <c r="V117" i="9"/>
  <c r="J17" i="19" l="1"/>
  <c r="R22" i="23"/>
  <c r="S22" i="23" s="1"/>
  <c r="R19" i="23"/>
  <c r="O19" i="23"/>
  <c r="S108" i="23"/>
  <c r="V108" i="23"/>
  <c r="W108" i="23" s="1"/>
  <c r="Z117" i="9"/>
  <c r="AC117" i="9"/>
  <c r="Q17" i="19" s="1"/>
  <c r="V22" i="23" l="1"/>
  <c r="W22" i="23" s="1"/>
  <c r="N17" i="19"/>
  <c r="V19" i="23"/>
  <c r="W19" i="23" s="1"/>
  <c r="S19" i="23"/>
  <c r="AD117" i="9"/>
  <c r="R17" i="19" s="1"/>
  <c r="AG117" i="9"/>
  <c r="AH117" i="9" l="1"/>
  <c r="V17" i="19" s="1"/>
  <c r="U17" i="19"/>
  <c r="B3" i="10" l="1"/>
  <c r="A3" i="10" s="1"/>
  <c r="B4" i="10"/>
  <c r="A4" i="10" s="1"/>
  <c r="B5" i="10"/>
  <c r="A5" i="10" s="1"/>
  <c r="B6" i="10"/>
  <c r="A6" i="10" s="1"/>
  <c r="B2" i="10"/>
  <c r="A2" i="10" s="1"/>
  <c r="B145" i="9" l="1"/>
  <c r="C145" i="9"/>
  <c r="D145" i="9"/>
  <c r="E145" i="9"/>
  <c r="AK145" i="9" s="1"/>
  <c r="Y126" i="17" s="1"/>
  <c r="U145" i="9"/>
  <c r="Y145" i="9" s="1"/>
  <c r="B146" i="9"/>
  <c r="C146" i="9"/>
  <c r="D146" i="9"/>
  <c r="E146" i="9"/>
  <c r="G146" i="9" s="1"/>
  <c r="G127" i="17" s="1"/>
  <c r="U146" i="9"/>
  <c r="Y146" i="9" s="1"/>
  <c r="B147" i="9"/>
  <c r="C147" i="9"/>
  <c r="D147" i="9"/>
  <c r="E147" i="9"/>
  <c r="AK147" i="9" s="1"/>
  <c r="Y128" i="17" s="1"/>
  <c r="U147" i="9"/>
  <c r="B148" i="9"/>
  <c r="C148" i="9"/>
  <c r="D148" i="9"/>
  <c r="E148" i="9"/>
  <c r="U148" i="9"/>
  <c r="I129" i="17" s="1"/>
  <c r="B149" i="9"/>
  <c r="C149" i="9"/>
  <c r="D149" i="9"/>
  <c r="E149" i="9"/>
  <c r="AK149" i="9" s="1"/>
  <c r="Y130" i="17" s="1"/>
  <c r="U149" i="9"/>
  <c r="Y149" i="9" s="1"/>
  <c r="B150" i="9"/>
  <c r="C150" i="9"/>
  <c r="D150" i="9"/>
  <c r="E150" i="9"/>
  <c r="G150" i="9" s="1"/>
  <c r="G131" i="17" s="1"/>
  <c r="U150" i="9"/>
  <c r="Y150" i="9" s="1"/>
  <c r="B151" i="9"/>
  <c r="C151" i="9"/>
  <c r="D151" i="9"/>
  <c r="E151" i="9"/>
  <c r="G151" i="9" s="1"/>
  <c r="G132" i="17" s="1"/>
  <c r="U151" i="9"/>
  <c r="I132" i="17" s="1"/>
  <c r="B152" i="9"/>
  <c r="C152" i="9"/>
  <c r="D152" i="9"/>
  <c r="E152" i="9"/>
  <c r="G152" i="9" s="1"/>
  <c r="G133" i="17" s="1"/>
  <c r="U152" i="9"/>
  <c r="I133" i="17" s="1"/>
  <c r="B153" i="9"/>
  <c r="C153" i="9"/>
  <c r="D153" i="9"/>
  <c r="E153" i="9"/>
  <c r="AK153" i="9" s="1"/>
  <c r="Y134" i="17" s="1"/>
  <c r="U153" i="9"/>
  <c r="I134" i="17" s="1"/>
  <c r="B154" i="9"/>
  <c r="C154" i="9"/>
  <c r="D154" i="9"/>
  <c r="E154" i="9"/>
  <c r="G154" i="9" s="1"/>
  <c r="G135" i="17" s="1"/>
  <c r="U154" i="9"/>
  <c r="Y154" i="9" s="1"/>
  <c r="B155" i="9"/>
  <c r="C155" i="9"/>
  <c r="D155" i="9"/>
  <c r="E155" i="9"/>
  <c r="AK155" i="9" s="1"/>
  <c r="Y136" i="17" s="1"/>
  <c r="U155" i="9"/>
  <c r="B156" i="9"/>
  <c r="C156" i="9"/>
  <c r="D156" i="9"/>
  <c r="E156" i="9"/>
  <c r="G156" i="9" s="1"/>
  <c r="G137" i="17" s="1"/>
  <c r="U156" i="9"/>
  <c r="I137" i="17" s="1"/>
  <c r="B157" i="9"/>
  <c r="C157" i="9"/>
  <c r="D157" i="9"/>
  <c r="E157" i="9"/>
  <c r="AK157" i="9" s="1"/>
  <c r="U157" i="9"/>
  <c r="Y157" i="9" s="1"/>
  <c r="B158" i="9"/>
  <c r="C158" i="9"/>
  <c r="D158" i="9"/>
  <c r="E158" i="9"/>
  <c r="G158" i="9" s="1"/>
  <c r="G139" i="17" s="1"/>
  <c r="U158" i="9"/>
  <c r="Y158" i="9" s="1"/>
  <c r="B126" i="17"/>
  <c r="C126" i="17"/>
  <c r="D126" i="17"/>
  <c r="E126" i="17"/>
  <c r="F126" i="17"/>
  <c r="H126" i="17"/>
  <c r="K126" i="17"/>
  <c r="L126" i="17"/>
  <c r="O126" i="17"/>
  <c r="P126" i="17"/>
  <c r="S126" i="17"/>
  <c r="T126" i="17"/>
  <c r="W126" i="17"/>
  <c r="X126" i="17"/>
  <c r="Z126" i="17"/>
  <c r="B127" i="17"/>
  <c r="C127" i="17"/>
  <c r="D127" i="17"/>
  <c r="E127" i="17"/>
  <c r="F127" i="17"/>
  <c r="H127" i="17"/>
  <c r="K127" i="17"/>
  <c r="L127" i="17"/>
  <c r="O127" i="17"/>
  <c r="P127" i="17"/>
  <c r="S127" i="17"/>
  <c r="T127" i="17"/>
  <c r="W127" i="17"/>
  <c r="X127" i="17"/>
  <c r="Z127" i="17"/>
  <c r="B128" i="17"/>
  <c r="C128" i="17"/>
  <c r="D128" i="17"/>
  <c r="E128" i="17"/>
  <c r="F128" i="17"/>
  <c r="H128" i="17"/>
  <c r="K128" i="17"/>
  <c r="L128" i="17"/>
  <c r="O128" i="17"/>
  <c r="P128" i="17"/>
  <c r="S128" i="17"/>
  <c r="T128" i="17"/>
  <c r="W128" i="17"/>
  <c r="X128" i="17"/>
  <c r="Z128" i="17"/>
  <c r="B129" i="17"/>
  <c r="C129" i="17"/>
  <c r="D129" i="17"/>
  <c r="E129" i="17"/>
  <c r="F129" i="17"/>
  <c r="H129" i="17"/>
  <c r="K129" i="17"/>
  <c r="L129" i="17"/>
  <c r="O129" i="17"/>
  <c r="P129" i="17"/>
  <c r="S129" i="17"/>
  <c r="T129" i="17"/>
  <c r="W129" i="17"/>
  <c r="X129" i="17"/>
  <c r="Z129" i="17"/>
  <c r="B130" i="17"/>
  <c r="C130" i="17"/>
  <c r="D130" i="17"/>
  <c r="E130" i="17"/>
  <c r="F130" i="17"/>
  <c r="H130" i="17"/>
  <c r="K130" i="17"/>
  <c r="L130" i="17"/>
  <c r="O130" i="17"/>
  <c r="P130" i="17"/>
  <c r="S130" i="17"/>
  <c r="T130" i="17"/>
  <c r="W130" i="17"/>
  <c r="X130" i="17"/>
  <c r="Z130" i="17"/>
  <c r="B131" i="17"/>
  <c r="C131" i="17"/>
  <c r="D131" i="17"/>
  <c r="E131" i="17"/>
  <c r="F131" i="17"/>
  <c r="H131" i="17"/>
  <c r="K131" i="17"/>
  <c r="L131" i="17"/>
  <c r="O131" i="17"/>
  <c r="P131" i="17"/>
  <c r="S131" i="17"/>
  <c r="T131" i="17"/>
  <c r="W131" i="17"/>
  <c r="X131" i="17"/>
  <c r="Z131" i="17"/>
  <c r="B132" i="17"/>
  <c r="C132" i="17"/>
  <c r="D132" i="17"/>
  <c r="E132" i="17"/>
  <c r="F132" i="17"/>
  <c r="H132" i="17"/>
  <c r="K132" i="17"/>
  <c r="L132" i="17"/>
  <c r="O132" i="17"/>
  <c r="P132" i="17"/>
  <c r="S132" i="17"/>
  <c r="T132" i="17"/>
  <c r="W132" i="17"/>
  <c r="X132" i="17"/>
  <c r="Z132" i="17"/>
  <c r="B133" i="17"/>
  <c r="C133" i="17"/>
  <c r="D133" i="17"/>
  <c r="E133" i="17"/>
  <c r="F133" i="17"/>
  <c r="H133" i="17"/>
  <c r="K133" i="17"/>
  <c r="L133" i="17"/>
  <c r="O133" i="17"/>
  <c r="P133" i="17"/>
  <c r="S133" i="17"/>
  <c r="T133" i="17"/>
  <c r="W133" i="17"/>
  <c r="X133" i="17"/>
  <c r="Z133" i="17"/>
  <c r="B134" i="17"/>
  <c r="C134" i="17"/>
  <c r="D134" i="17"/>
  <c r="E134" i="17"/>
  <c r="F134" i="17"/>
  <c r="H134" i="17"/>
  <c r="K134" i="17"/>
  <c r="L134" i="17"/>
  <c r="O134" i="17"/>
  <c r="P134" i="17"/>
  <c r="S134" i="17"/>
  <c r="T134" i="17"/>
  <c r="W134" i="17"/>
  <c r="X134" i="17"/>
  <c r="Z134" i="17"/>
  <c r="B135" i="17"/>
  <c r="C135" i="17"/>
  <c r="D135" i="17"/>
  <c r="E135" i="17"/>
  <c r="F135" i="17"/>
  <c r="H135" i="17"/>
  <c r="K135" i="17"/>
  <c r="L135" i="17"/>
  <c r="O135" i="17"/>
  <c r="P135" i="17"/>
  <c r="S135" i="17"/>
  <c r="T135" i="17"/>
  <c r="W135" i="17"/>
  <c r="X135" i="17"/>
  <c r="Z135" i="17"/>
  <c r="B136" i="17"/>
  <c r="C136" i="17"/>
  <c r="D136" i="17"/>
  <c r="E136" i="17"/>
  <c r="F136" i="17"/>
  <c r="H136" i="17"/>
  <c r="K136" i="17"/>
  <c r="L136" i="17"/>
  <c r="O136" i="17"/>
  <c r="P136" i="17"/>
  <c r="S136" i="17"/>
  <c r="T136" i="17"/>
  <c r="W136" i="17"/>
  <c r="X136" i="17"/>
  <c r="Z136" i="17"/>
  <c r="B137" i="17"/>
  <c r="C137" i="17"/>
  <c r="D137" i="17"/>
  <c r="E137" i="17"/>
  <c r="F137" i="17"/>
  <c r="H137" i="17"/>
  <c r="K137" i="17"/>
  <c r="L137" i="17"/>
  <c r="O137" i="17"/>
  <c r="P137" i="17"/>
  <c r="S137" i="17"/>
  <c r="T137" i="17"/>
  <c r="W137" i="17"/>
  <c r="X137" i="17"/>
  <c r="Z137" i="17"/>
  <c r="B138" i="17"/>
  <c r="C138" i="17"/>
  <c r="D138" i="17"/>
  <c r="E138" i="17"/>
  <c r="F138" i="17"/>
  <c r="H138" i="17"/>
  <c r="K138" i="17"/>
  <c r="L138" i="17"/>
  <c r="O138" i="17"/>
  <c r="P138" i="17"/>
  <c r="S138" i="17"/>
  <c r="T138" i="17"/>
  <c r="W138" i="17"/>
  <c r="X138" i="17"/>
  <c r="Z138" i="17"/>
  <c r="B139" i="17"/>
  <c r="C139" i="17"/>
  <c r="D139" i="17"/>
  <c r="E139" i="17"/>
  <c r="F139" i="17"/>
  <c r="H139" i="17"/>
  <c r="K139" i="17"/>
  <c r="L139" i="17"/>
  <c r="O139" i="17"/>
  <c r="P139" i="17"/>
  <c r="S139" i="17"/>
  <c r="T139" i="17"/>
  <c r="W139" i="17"/>
  <c r="X139" i="17"/>
  <c r="Z139" i="17"/>
  <c r="F62" i="10"/>
  <c r="F59" i="10"/>
  <c r="F60" i="10"/>
  <c r="F61" i="10"/>
  <c r="I126" i="17" l="1"/>
  <c r="I131" i="17"/>
  <c r="I130" i="17"/>
  <c r="I135" i="17"/>
  <c r="I138" i="17"/>
  <c r="Y153" i="9"/>
  <c r="AC153" i="9" s="1"/>
  <c r="Q134" i="17" s="1"/>
  <c r="AC145" i="9"/>
  <c r="Q126" i="17" s="1"/>
  <c r="M126" i="17"/>
  <c r="I127" i="17"/>
  <c r="Y148" i="9"/>
  <c r="Z148" i="9" s="1"/>
  <c r="N129" i="17" s="1"/>
  <c r="I139" i="17"/>
  <c r="Y138" i="17"/>
  <c r="Y152" i="9"/>
  <c r="AC152" i="9" s="1"/>
  <c r="Y156" i="9"/>
  <c r="M137" i="17" s="1"/>
  <c r="M138" i="17"/>
  <c r="AC157" i="9"/>
  <c r="AD157" i="9" s="1"/>
  <c r="M130" i="17"/>
  <c r="AC149" i="9"/>
  <c r="AD149" i="9" s="1"/>
  <c r="R130" i="17" s="1"/>
  <c r="V148" i="9"/>
  <c r="J129" i="17" s="1"/>
  <c r="G155" i="9"/>
  <c r="G136" i="17" s="1"/>
  <c r="AK152" i="9"/>
  <c r="Y133" i="17" s="1"/>
  <c r="G148" i="9"/>
  <c r="G129" i="17" s="1"/>
  <c r="Z157" i="9"/>
  <c r="V156" i="9"/>
  <c r="J137" i="17" s="1"/>
  <c r="V155" i="9"/>
  <c r="J136" i="17" s="1"/>
  <c r="V153" i="9"/>
  <c r="J134" i="17" s="1"/>
  <c r="V157" i="9"/>
  <c r="J138" i="17" s="1"/>
  <c r="G149" i="9"/>
  <c r="G130" i="17" s="1"/>
  <c r="Z145" i="9"/>
  <c r="N126" i="17" s="1"/>
  <c r="AK151" i="9"/>
  <c r="Y132" i="17" s="1"/>
  <c r="V151" i="9"/>
  <c r="J132" i="17" s="1"/>
  <c r="V152" i="9"/>
  <c r="J133" i="17" s="1"/>
  <c r="G145" i="9"/>
  <c r="G126" i="17" s="1"/>
  <c r="AK156" i="9"/>
  <c r="Y137" i="17" s="1"/>
  <c r="G147" i="9"/>
  <c r="G128" i="17" s="1"/>
  <c r="G153" i="9"/>
  <c r="G134" i="17" s="1"/>
  <c r="Z149" i="9"/>
  <c r="N130" i="17" s="1"/>
  <c r="AK148" i="9"/>
  <c r="Y129" i="17" s="1"/>
  <c r="G157" i="9"/>
  <c r="G138" i="17" s="1"/>
  <c r="V147" i="9"/>
  <c r="J128" i="17" s="1"/>
  <c r="M139" i="17"/>
  <c r="AC158" i="9"/>
  <c r="Z158" i="9"/>
  <c r="Z146" i="9"/>
  <c r="N127" i="17" s="1"/>
  <c r="AC146" i="9"/>
  <c r="M127" i="17"/>
  <c r="Z154" i="9"/>
  <c r="N135" i="17" s="1"/>
  <c r="AC154" i="9"/>
  <c r="M135" i="17"/>
  <c r="M131" i="17"/>
  <c r="AC150" i="9"/>
  <c r="Z150" i="9"/>
  <c r="N131" i="17" s="1"/>
  <c r="M133" i="17"/>
  <c r="V149" i="9"/>
  <c r="J130" i="17" s="1"/>
  <c r="V145" i="9"/>
  <c r="J126" i="17" s="1"/>
  <c r="I136" i="17"/>
  <c r="I128" i="17"/>
  <c r="V158" i="9"/>
  <c r="J139" i="17" s="1"/>
  <c r="V154" i="9"/>
  <c r="J135" i="17" s="1"/>
  <c r="V150" i="9"/>
  <c r="J131" i="17" s="1"/>
  <c r="V146" i="9"/>
  <c r="J127" i="17" s="1"/>
  <c r="AK158" i="9"/>
  <c r="Y155" i="9"/>
  <c r="Y151" i="9"/>
  <c r="AK150" i="9"/>
  <c r="Y131" i="17" s="1"/>
  <c r="AK146" i="9"/>
  <c r="Y127" i="17" s="1"/>
  <c r="AK154" i="9"/>
  <c r="Y135" i="17" s="1"/>
  <c r="Y147" i="9"/>
  <c r="AC156" i="9" l="1"/>
  <c r="Z152" i="9"/>
  <c r="N133" i="17" s="1"/>
  <c r="Z153" i="9"/>
  <c r="N134" i="17" s="1"/>
  <c r="AG153" i="9"/>
  <c r="AD153" i="9"/>
  <c r="R134" i="17" s="1"/>
  <c r="AG145" i="9"/>
  <c r="AH145" i="9" s="1"/>
  <c r="V126" i="17" s="1"/>
  <c r="M134" i="17"/>
  <c r="M129" i="17"/>
  <c r="AD145" i="9"/>
  <c r="R126" i="17" s="1"/>
  <c r="Q138" i="17"/>
  <c r="AG157" i="9"/>
  <c r="U138" i="17" s="1"/>
  <c r="Z156" i="9"/>
  <c r="N137" i="17" s="1"/>
  <c r="AC148" i="9"/>
  <c r="AG148" i="9" s="1"/>
  <c r="Q130" i="17"/>
  <c r="AG149" i="9"/>
  <c r="U130" i="17" s="1"/>
  <c r="N138" i="17"/>
  <c r="Y139" i="17"/>
  <c r="R138" i="17"/>
  <c r="N139" i="17"/>
  <c r="K123" i="9"/>
  <c r="G23" i="19" s="1"/>
  <c r="U123" i="9"/>
  <c r="F23" i="19"/>
  <c r="AD154" i="9"/>
  <c r="R135" i="17" s="1"/>
  <c r="AG154" i="9"/>
  <c r="Q135" i="17"/>
  <c r="Z151" i="9"/>
  <c r="N132" i="17" s="1"/>
  <c r="AC151" i="9"/>
  <c r="M132" i="17"/>
  <c r="Q133" i="17"/>
  <c r="AD152" i="9"/>
  <c r="R133" i="17" s="1"/>
  <c r="AG152" i="9"/>
  <c r="AD146" i="9"/>
  <c r="R127" i="17" s="1"/>
  <c r="AG146" i="9"/>
  <c r="Q127" i="17"/>
  <c r="AD156" i="9"/>
  <c r="R137" i="17" s="1"/>
  <c r="AG156" i="9"/>
  <c r="Q137" i="17"/>
  <c r="AD158" i="9"/>
  <c r="AG158" i="9"/>
  <c r="Q139" i="17"/>
  <c r="M128" i="17"/>
  <c r="Z147" i="9"/>
  <c r="N128" i="17" s="1"/>
  <c r="AC147" i="9"/>
  <c r="AH153" i="9"/>
  <c r="V134" i="17" s="1"/>
  <c r="U134" i="17"/>
  <c r="M136" i="17"/>
  <c r="Z155" i="9"/>
  <c r="N136" i="17" s="1"/>
  <c r="AC155" i="9"/>
  <c r="AD150" i="9"/>
  <c r="R131" i="17" s="1"/>
  <c r="AG150" i="9"/>
  <c r="Q131" i="17"/>
  <c r="U126" i="17" l="1"/>
  <c r="AD148" i="9"/>
  <c r="R129" i="17" s="1"/>
  <c r="AH149" i="9"/>
  <c r="V130" i="17" s="1"/>
  <c r="AH157" i="9"/>
  <c r="V138" i="17" s="1"/>
  <c r="Q129" i="17"/>
  <c r="R139" i="17"/>
  <c r="Y123" i="9"/>
  <c r="I23" i="19"/>
  <c r="V123" i="9"/>
  <c r="J23" i="19" s="1"/>
  <c r="U129" i="17"/>
  <c r="AH148" i="9"/>
  <c r="V129" i="17" s="1"/>
  <c r="AH146" i="9"/>
  <c r="V127" i="17" s="1"/>
  <c r="U127" i="17"/>
  <c r="AH154" i="9"/>
  <c r="V135" i="17" s="1"/>
  <c r="U135" i="17"/>
  <c r="Q132" i="17"/>
  <c r="AG151" i="9"/>
  <c r="AD151" i="9"/>
  <c r="R132" i="17" s="1"/>
  <c r="Q128" i="17"/>
  <c r="AD147" i="9"/>
  <c r="R128" i="17" s="1"/>
  <c r="AG147" i="9"/>
  <c r="AH152" i="9"/>
  <c r="V133" i="17" s="1"/>
  <c r="U133" i="17"/>
  <c r="AH158" i="9"/>
  <c r="U139" i="17"/>
  <c r="AH150" i="9"/>
  <c r="V131" i="17" s="1"/>
  <c r="U131" i="17"/>
  <c r="Q136" i="17"/>
  <c r="AD155" i="9"/>
  <c r="R136" i="17" s="1"/>
  <c r="AG155" i="9"/>
  <c r="U137" i="17"/>
  <c r="AH156" i="9"/>
  <c r="V137" i="17" s="1"/>
  <c r="V139" i="17" l="1"/>
  <c r="M23" i="19"/>
  <c r="Z123" i="9"/>
  <c r="N23" i="19" s="1"/>
  <c r="AC123" i="9"/>
  <c r="AH151" i="9"/>
  <c r="V132" i="17" s="1"/>
  <c r="U132" i="17"/>
  <c r="AH155" i="9"/>
  <c r="V136" i="17" s="1"/>
  <c r="U136" i="17"/>
  <c r="AH147" i="9"/>
  <c r="V128" i="17" s="1"/>
  <c r="U128" i="17"/>
  <c r="Q23" i="19" l="1"/>
  <c r="AD123" i="9"/>
  <c r="R23" i="19" s="1"/>
  <c r="AG123" i="9"/>
  <c r="I14" i="24"/>
  <c r="M14" i="24" s="1"/>
  <c r="Q14" i="24" s="1"/>
  <c r="I14" i="21"/>
  <c r="M14" i="21" s="1"/>
  <c r="I14" i="20"/>
  <c r="M14" i="20" s="1"/>
  <c r="I14" i="19"/>
  <c r="M14" i="19" s="1"/>
  <c r="M14" i="18"/>
  <c r="B102" i="17"/>
  <c r="C102" i="17"/>
  <c r="D102" i="17"/>
  <c r="E102" i="17"/>
  <c r="F102" i="17"/>
  <c r="H102" i="17"/>
  <c r="I102" i="17"/>
  <c r="K102" i="17"/>
  <c r="L102" i="17"/>
  <c r="O102" i="17"/>
  <c r="P102" i="17"/>
  <c r="S102" i="17"/>
  <c r="T102" i="17"/>
  <c r="W102" i="17"/>
  <c r="X102" i="17"/>
  <c r="Z102" i="17"/>
  <c r="B103" i="17"/>
  <c r="C103" i="17"/>
  <c r="D103" i="17"/>
  <c r="E103" i="17"/>
  <c r="F103" i="17"/>
  <c r="H103" i="17"/>
  <c r="K103" i="17"/>
  <c r="L103" i="17"/>
  <c r="O103" i="17"/>
  <c r="P103" i="17"/>
  <c r="S103" i="17"/>
  <c r="T103" i="17"/>
  <c r="W103" i="17"/>
  <c r="X103" i="17"/>
  <c r="Z103" i="17"/>
  <c r="B104" i="17"/>
  <c r="C104" i="17"/>
  <c r="D104" i="17"/>
  <c r="E104" i="17"/>
  <c r="F104" i="17"/>
  <c r="H104" i="17"/>
  <c r="K104" i="17"/>
  <c r="L104" i="17"/>
  <c r="O104" i="17"/>
  <c r="P104" i="17"/>
  <c r="S104" i="17"/>
  <c r="T104" i="17"/>
  <c r="W104" i="17"/>
  <c r="X104" i="17"/>
  <c r="Z104" i="17"/>
  <c r="U109" i="9"/>
  <c r="Y109" i="9" s="1"/>
  <c r="U110" i="9"/>
  <c r="U111" i="9"/>
  <c r="Y111" i="9" s="1"/>
  <c r="AC111" i="9" s="1"/>
  <c r="AG111" i="9" s="1"/>
  <c r="U112" i="9"/>
  <c r="Y112" i="9" s="1"/>
  <c r="U113" i="9"/>
  <c r="Y113" i="9" s="1"/>
  <c r="AK113" i="9"/>
  <c r="Y103" i="17" s="1"/>
  <c r="U114" i="9"/>
  <c r="Y114" i="9" s="1"/>
  <c r="Z114" i="9" s="1"/>
  <c r="N104" i="17" s="1"/>
  <c r="AK114" i="9"/>
  <c r="Y104" i="17" s="1"/>
  <c r="B112" i="9"/>
  <c r="C112" i="9"/>
  <c r="D112" i="9"/>
  <c r="E112" i="9"/>
  <c r="AK112" i="9" s="1"/>
  <c r="Y102" i="17" s="1"/>
  <c r="B113" i="9"/>
  <c r="C113" i="9"/>
  <c r="D113" i="9"/>
  <c r="G113" i="9"/>
  <c r="G103" i="17" s="1"/>
  <c r="B114" i="9"/>
  <c r="C114" i="9"/>
  <c r="D114" i="9"/>
  <c r="G114" i="9"/>
  <c r="G104" i="17" s="1"/>
  <c r="V114" i="9" l="1"/>
  <c r="J104" i="17" s="1"/>
  <c r="I104" i="17"/>
  <c r="M103" i="17"/>
  <c r="Z113" i="9"/>
  <c r="N103" i="17" s="1"/>
  <c r="AC113" i="9"/>
  <c r="M102" i="17"/>
  <c r="AC112" i="9"/>
  <c r="AD112" i="9" s="1"/>
  <c r="R102" i="17" s="1"/>
  <c r="V113" i="9"/>
  <c r="J103" i="17" s="1"/>
  <c r="I103" i="17"/>
  <c r="AC114" i="9"/>
  <c r="AG114" i="9" s="1"/>
  <c r="M104" i="17"/>
  <c r="AH123" i="9"/>
  <c r="V23" i="19" s="1"/>
  <c r="U23" i="19"/>
  <c r="G112" i="9"/>
  <c r="G102" i="17" s="1"/>
  <c r="Z112" i="9"/>
  <c r="N102" i="17" s="1"/>
  <c r="V112" i="9"/>
  <c r="J102" i="17" s="1"/>
  <c r="U14" i="24"/>
  <c r="Q14" i="21"/>
  <c r="Q14" i="20"/>
  <c r="Q14" i="19"/>
  <c r="Q14" i="18"/>
  <c r="AC109" i="9"/>
  <c r="Y110" i="9"/>
  <c r="I14" i="27"/>
  <c r="M14" i="27" s="1"/>
  <c r="Q14" i="27" s="1"/>
  <c r="U14" i="27" s="1"/>
  <c r="H90" i="23"/>
  <c r="J90" i="23"/>
  <c r="K90" i="23" s="1"/>
  <c r="H76" i="23"/>
  <c r="J76" i="23"/>
  <c r="K76" i="23" s="1"/>
  <c r="H66" i="23"/>
  <c r="J66" i="23"/>
  <c r="K66" i="23" s="1"/>
  <c r="J68" i="23"/>
  <c r="N68" i="23" s="1"/>
  <c r="J69" i="23"/>
  <c r="N69" i="23" s="1"/>
  <c r="J70" i="23"/>
  <c r="N70" i="23" s="1"/>
  <c r="J72" i="23"/>
  <c r="N72" i="23" s="1"/>
  <c r="J73" i="23"/>
  <c r="N73" i="23" s="1"/>
  <c r="J74" i="23"/>
  <c r="N74" i="23" s="1"/>
  <c r="J71" i="23"/>
  <c r="N71" i="23" s="1"/>
  <c r="J75" i="23"/>
  <c r="N75" i="23" s="1"/>
  <c r="J77" i="23"/>
  <c r="N77" i="23" s="1"/>
  <c r="J78" i="23"/>
  <c r="N78" i="23" s="1"/>
  <c r="J79" i="23"/>
  <c r="N79" i="23" s="1"/>
  <c r="J80" i="23"/>
  <c r="N80" i="23" s="1"/>
  <c r="H75" i="23"/>
  <c r="H71" i="23"/>
  <c r="H74" i="23"/>
  <c r="H73" i="23"/>
  <c r="H72" i="23"/>
  <c r="H70" i="23"/>
  <c r="H77" i="23"/>
  <c r="H78" i="23"/>
  <c r="H79" i="23"/>
  <c r="H80" i="23"/>
  <c r="H81" i="23"/>
  <c r="J81" i="23"/>
  <c r="K81" i="23" s="1"/>
  <c r="H82" i="23"/>
  <c r="J82" i="23"/>
  <c r="K82" i="23" s="1"/>
  <c r="AH114" i="9" l="1"/>
  <c r="V104" i="17" s="1"/>
  <c r="U104" i="17"/>
  <c r="AD114" i="9"/>
  <c r="R104" i="17" s="1"/>
  <c r="Q104" i="17"/>
  <c r="AG112" i="9"/>
  <c r="Q102" i="17"/>
  <c r="AG113" i="9"/>
  <c r="Q103" i="17"/>
  <c r="AD113" i="9"/>
  <c r="R103" i="17" s="1"/>
  <c r="U14" i="21"/>
  <c r="U14" i="20"/>
  <c r="U14" i="19"/>
  <c r="U14" i="18"/>
  <c r="AG109" i="9"/>
  <c r="AC110" i="9"/>
  <c r="K70" i="23"/>
  <c r="K71" i="23"/>
  <c r="K79" i="23"/>
  <c r="K74" i="23"/>
  <c r="K78" i="23"/>
  <c r="K73" i="23"/>
  <c r="K72" i="23"/>
  <c r="K75" i="23"/>
  <c r="K80" i="23"/>
  <c r="N90" i="23"/>
  <c r="K77" i="23"/>
  <c r="N76" i="23"/>
  <c r="K68" i="23"/>
  <c r="N66" i="23"/>
  <c r="K69" i="23"/>
  <c r="O77" i="23"/>
  <c r="R77" i="23"/>
  <c r="O68" i="23"/>
  <c r="R68" i="23"/>
  <c r="O80" i="23"/>
  <c r="R80" i="23"/>
  <c r="O70" i="23"/>
  <c r="R70" i="23"/>
  <c r="O73" i="23"/>
  <c r="R73" i="23"/>
  <c r="O75" i="23"/>
  <c r="R75" i="23"/>
  <c r="O72" i="23"/>
  <c r="R72" i="23"/>
  <c r="O79" i="23"/>
  <c r="R79" i="23"/>
  <c r="O71" i="23"/>
  <c r="R71" i="23"/>
  <c r="O78" i="23"/>
  <c r="R78" i="23"/>
  <c r="O74" i="23"/>
  <c r="R74" i="23"/>
  <c r="O69" i="23"/>
  <c r="R69" i="23"/>
  <c r="N82" i="23"/>
  <c r="N81" i="23"/>
  <c r="AH113" i="9" l="1"/>
  <c r="V103" i="17" s="1"/>
  <c r="U103" i="17"/>
  <c r="U102" i="17"/>
  <c r="AH112" i="9"/>
  <c r="V102" i="17" s="1"/>
  <c r="AG110" i="9"/>
  <c r="O90" i="23"/>
  <c r="R90" i="23"/>
  <c r="O76" i="23"/>
  <c r="R76" i="23"/>
  <c r="R66" i="23"/>
  <c r="O66" i="23"/>
  <c r="S71" i="23"/>
  <c r="V71" i="23"/>
  <c r="W71" i="23" s="1"/>
  <c r="S77" i="23"/>
  <c r="V77" i="23"/>
  <c r="W77" i="23" s="1"/>
  <c r="V79" i="23"/>
  <c r="W79" i="23" s="1"/>
  <c r="S79" i="23"/>
  <c r="S74" i="23"/>
  <c r="V74" i="23"/>
  <c r="W74" i="23" s="1"/>
  <c r="S73" i="23"/>
  <c r="V73" i="23"/>
  <c r="W73" i="23" s="1"/>
  <c r="S69" i="23"/>
  <c r="V69" i="23"/>
  <c r="W69" i="23" s="1"/>
  <c r="S70" i="23"/>
  <c r="V70" i="23"/>
  <c r="W70" i="23" s="1"/>
  <c r="S72" i="23"/>
  <c r="V72" i="23"/>
  <c r="W72" i="23" s="1"/>
  <c r="S80" i="23"/>
  <c r="V80" i="23"/>
  <c r="W80" i="23" s="1"/>
  <c r="S78" i="23"/>
  <c r="V78" i="23"/>
  <c r="W78" i="23" s="1"/>
  <c r="V75" i="23"/>
  <c r="W75" i="23" s="1"/>
  <c r="S75" i="23"/>
  <c r="S68" i="23"/>
  <c r="V68" i="23"/>
  <c r="W68" i="23" s="1"/>
  <c r="O82" i="23"/>
  <c r="R82" i="23"/>
  <c r="O81" i="23"/>
  <c r="R81" i="23"/>
  <c r="V90" i="23" l="1"/>
  <c r="W90" i="23" s="1"/>
  <c r="S90" i="23"/>
  <c r="S76" i="23"/>
  <c r="V76" i="23"/>
  <c r="W76" i="23" s="1"/>
  <c r="S66" i="23"/>
  <c r="V66" i="23"/>
  <c r="W66" i="23" s="1"/>
  <c r="S81" i="23"/>
  <c r="V81" i="23"/>
  <c r="W81" i="23" s="1"/>
  <c r="V82" i="23"/>
  <c r="W82" i="23" s="1"/>
  <c r="S82" i="23"/>
  <c r="H97" i="23" l="1"/>
  <c r="J97" i="23"/>
  <c r="K97" i="23" s="1"/>
  <c r="H98" i="23"/>
  <c r="J98" i="23"/>
  <c r="K98" i="23" s="1"/>
  <c r="H99" i="23"/>
  <c r="J99" i="23"/>
  <c r="K99" i="23" s="1"/>
  <c r="H100" i="23"/>
  <c r="J100" i="23"/>
  <c r="N100" i="23" s="1"/>
  <c r="H101" i="23"/>
  <c r="J101" i="23"/>
  <c r="K101" i="23" s="1"/>
  <c r="H102" i="23"/>
  <c r="J102" i="23"/>
  <c r="K102" i="23" s="1"/>
  <c r="H103" i="23"/>
  <c r="J103" i="23"/>
  <c r="K103" i="23" s="1"/>
  <c r="H104" i="23"/>
  <c r="J104" i="23"/>
  <c r="K104" i="23" s="1"/>
  <c r="H105" i="23"/>
  <c r="J105" i="23"/>
  <c r="K105" i="23" s="1"/>
  <c r="H106" i="23"/>
  <c r="J106" i="23"/>
  <c r="K106" i="23" s="1"/>
  <c r="I67" i="10"/>
  <c r="N102" i="23" l="1"/>
  <c r="O102" i="23" s="1"/>
  <c r="N104" i="23"/>
  <c r="O104" i="23" s="1"/>
  <c r="N99" i="23"/>
  <c r="O99" i="23" s="1"/>
  <c r="K100" i="23"/>
  <c r="N106" i="23"/>
  <c r="N98" i="23"/>
  <c r="R100" i="23"/>
  <c r="O100" i="23"/>
  <c r="N101" i="23"/>
  <c r="N105" i="23"/>
  <c r="N97" i="23"/>
  <c r="N103" i="23"/>
  <c r="J120" i="23"/>
  <c r="N120" i="23" s="1"/>
  <c r="H120" i="23"/>
  <c r="J119" i="23"/>
  <c r="N119" i="23" s="1"/>
  <c r="R119" i="23" s="1"/>
  <c r="H119" i="23"/>
  <c r="J118" i="23"/>
  <c r="K118" i="23" s="1"/>
  <c r="H118" i="23"/>
  <c r="J117" i="23"/>
  <c r="N117" i="23" s="1"/>
  <c r="H117" i="23"/>
  <c r="J115" i="23"/>
  <c r="N115" i="23" s="1"/>
  <c r="H115" i="23"/>
  <c r="B193" i="17"/>
  <c r="C193" i="17"/>
  <c r="D193" i="17"/>
  <c r="E193" i="17"/>
  <c r="F193" i="17"/>
  <c r="H193" i="17"/>
  <c r="K193" i="17"/>
  <c r="L193" i="17"/>
  <c r="O193" i="17"/>
  <c r="P193" i="17"/>
  <c r="S193" i="17"/>
  <c r="T193" i="17"/>
  <c r="W193" i="17"/>
  <c r="X193" i="17"/>
  <c r="Z193" i="17"/>
  <c r="U240" i="9"/>
  <c r="Y240" i="9" s="1"/>
  <c r="M193" i="17" s="1"/>
  <c r="B240" i="9"/>
  <c r="C240" i="9"/>
  <c r="D240" i="9"/>
  <c r="E240" i="9"/>
  <c r="G240" i="9" s="1"/>
  <c r="G193" i="17" s="1"/>
  <c r="F52" i="10"/>
  <c r="R102" i="23" l="1"/>
  <c r="J116" i="9"/>
  <c r="K119" i="23"/>
  <c r="R99" i="23"/>
  <c r="V99" i="23" s="1"/>
  <c r="W99" i="23" s="1"/>
  <c r="R104" i="23"/>
  <c r="V104" i="23" s="1"/>
  <c r="W104" i="23" s="1"/>
  <c r="N118" i="23"/>
  <c r="O118" i="23" s="1"/>
  <c r="AK240" i="9"/>
  <c r="Y193" i="17" s="1"/>
  <c r="R106" i="23"/>
  <c r="O106" i="23"/>
  <c r="R98" i="23"/>
  <c r="O98" i="23"/>
  <c r="O105" i="23"/>
  <c r="R105" i="23"/>
  <c r="O101" i="23"/>
  <c r="R101" i="23"/>
  <c r="S100" i="23"/>
  <c r="V100" i="23"/>
  <c r="W100" i="23" s="1"/>
  <c r="O103" i="23"/>
  <c r="R103" i="23"/>
  <c r="O97" i="23"/>
  <c r="R97" i="23"/>
  <c r="S119" i="23"/>
  <c r="V119" i="23"/>
  <c r="W119" i="23" s="1"/>
  <c r="R117" i="23"/>
  <c r="O117" i="23"/>
  <c r="R120" i="23"/>
  <c r="O120" i="23"/>
  <c r="K120" i="23"/>
  <c r="O119" i="23"/>
  <c r="K117" i="23"/>
  <c r="R115" i="23"/>
  <c r="O115" i="23"/>
  <c r="K115" i="23"/>
  <c r="I193" i="17"/>
  <c r="V240" i="9"/>
  <c r="J193" i="17" s="1"/>
  <c r="Z240" i="9"/>
  <c r="N193" i="17" s="1"/>
  <c r="AC240" i="9"/>
  <c r="Q193" i="17" s="1"/>
  <c r="H132" i="23"/>
  <c r="J132" i="23"/>
  <c r="N132" i="23" s="1"/>
  <c r="O132" i="23" s="1"/>
  <c r="H133" i="23"/>
  <c r="J133" i="23"/>
  <c r="K133" i="23" s="1"/>
  <c r="H107" i="23"/>
  <c r="J107" i="23"/>
  <c r="K107" i="23" s="1"/>
  <c r="H116" i="23"/>
  <c r="J116" i="23"/>
  <c r="K116" i="23" s="1"/>
  <c r="S104" i="23" l="1"/>
  <c r="S102" i="23"/>
  <c r="V102" i="23"/>
  <c r="W102" i="23" s="1"/>
  <c r="R118" i="23"/>
  <c r="S118" i="23" s="1"/>
  <c r="K132" i="23"/>
  <c r="S99" i="23"/>
  <c r="N116" i="23"/>
  <c r="R116" i="23" s="1"/>
  <c r="S116" i="23" s="1"/>
  <c r="R132" i="23"/>
  <c r="N133" i="23"/>
  <c r="S106" i="23"/>
  <c r="V106" i="23"/>
  <c r="W106" i="23" s="1"/>
  <c r="S98" i="23"/>
  <c r="V98" i="23"/>
  <c r="W98" i="23" s="1"/>
  <c r="S103" i="23"/>
  <c r="V103" i="23"/>
  <c r="W103" i="23" s="1"/>
  <c r="S101" i="23"/>
  <c r="V101" i="23"/>
  <c r="W101" i="23" s="1"/>
  <c r="S97" i="23"/>
  <c r="V97" i="23"/>
  <c r="W97" i="23" s="1"/>
  <c r="S105" i="23"/>
  <c r="V105" i="23"/>
  <c r="W105" i="23" s="1"/>
  <c r="V120" i="23"/>
  <c r="W120" i="23" s="1"/>
  <c r="S120" i="23"/>
  <c r="V117" i="23"/>
  <c r="W117" i="23" s="1"/>
  <c r="S117" i="23"/>
  <c r="S115" i="23"/>
  <c r="V115" i="23"/>
  <c r="W115" i="23" s="1"/>
  <c r="AD240" i="9"/>
  <c r="R193" i="17" s="1"/>
  <c r="AG240" i="9"/>
  <c r="N107" i="23"/>
  <c r="H241" i="23"/>
  <c r="J241" i="23"/>
  <c r="K241" i="23" s="1"/>
  <c r="H273" i="23"/>
  <c r="J273" i="23"/>
  <c r="N273" i="23" s="1"/>
  <c r="V118" i="23" l="1"/>
  <c r="W118" i="23" s="1"/>
  <c r="O116" i="23"/>
  <c r="V116" i="23"/>
  <c r="W116" i="23" s="1"/>
  <c r="V132" i="23"/>
  <c r="W132" i="23" s="1"/>
  <c r="S132" i="23"/>
  <c r="R133" i="23"/>
  <c r="O133" i="23"/>
  <c r="K273" i="23"/>
  <c r="AH240" i="9"/>
  <c r="V193" i="17" s="1"/>
  <c r="U193" i="17"/>
  <c r="R107" i="23"/>
  <c r="O107" i="23"/>
  <c r="N241" i="23"/>
  <c r="O241" i="23" s="1"/>
  <c r="O273" i="23"/>
  <c r="R273" i="23"/>
  <c r="V133" i="23" l="1"/>
  <c r="W133" i="23" s="1"/>
  <c r="S133" i="23"/>
  <c r="V107" i="23"/>
  <c r="W107" i="23" s="1"/>
  <c r="S107" i="23"/>
  <c r="R241" i="23"/>
  <c r="S241" i="23" s="1"/>
  <c r="V273" i="23"/>
  <c r="W273" i="23" s="1"/>
  <c r="S273" i="23"/>
  <c r="V241" i="23" l="1"/>
  <c r="W241" i="23" s="1"/>
  <c r="U182" i="9" l="1"/>
  <c r="H62" i="23" l="1"/>
  <c r="J62" i="23"/>
  <c r="K62" i="23" s="1"/>
  <c r="H63" i="23"/>
  <c r="J63" i="23"/>
  <c r="K63" i="23" s="1"/>
  <c r="H64" i="23"/>
  <c r="J64" i="23"/>
  <c r="N64" i="23" s="1"/>
  <c r="H65" i="23"/>
  <c r="J65" i="23"/>
  <c r="K65" i="23" s="1"/>
  <c r="N65" i="23" l="1"/>
  <c r="R65" i="23" s="1"/>
  <c r="V65" i="23" s="1"/>
  <c r="W65" i="23" s="1"/>
  <c r="K64" i="23"/>
  <c r="R64" i="23"/>
  <c r="S64" i="23" s="1"/>
  <c r="O64" i="23"/>
  <c r="N63" i="23"/>
  <c r="O63" i="23" s="1"/>
  <c r="N62" i="23"/>
  <c r="F17" i="27"/>
  <c r="H17" i="27"/>
  <c r="K17" i="27"/>
  <c r="L17" i="27"/>
  <c r="O17" i="27"/>
  <c r="P17" i="27"/>
  <c r="S17" i="27"/>
  <c r="T17" i="27"/>
  <c r="W17" i="27"/>
  <c r="X17" i="27"/>
  <c r="Z17" i="27"/>
  <c r="H124" i="23"/>
  <c r="J124" i="23"/>
  <c r="N124" i="23" s="1"/>
  <c r="H125" i="23"/>
  <c r="J125" i="23"/>
  <c r="K125" i="23" s="1"/>
  <c r="H126" i="23"/>
  <c r="J126" i="23"/>
  <c r="N126" i="23" s="1"/>
  <c r="H127" i="23"/>
  <c r="J127" i="23"/>
  <c r="K127" i="23" s="1"/>
  <c r="H128" i="23"/>
  <c r="J128" i="23"/>
  <c r="K128" i="23" s="1"/>
  <c r="I21" i="10"/>
  <c r="I22" i="10"/>
  <c r="F32" i="23" l="1"/>
  <c r="F31" i="23"/>
  <c r="S65" i="23"/>
  <c r="N125" i="23"/>
  <c r="O125" i="23" s="1"/>
  <c r="N128" i="23"/>
  <c r="R63" i="23"/>
  <c r="S63" i="23" s="1"/>
  <c r="O65" i="23"/>
  <c r="V64" i="23"/>
  <c r="W64" i="23" s="1"/>
  <c r="K124" i="23"/>
  <c r="R124" i="23"/>
  <c r="V124" i="23" s="1"/>
  <c r="W124" i="23" s="1"/>
  <c r="O124" i="23"/>
  <c r="K126" i="23"/>
  <c r="R62" i="23"/>
  <c r="O62" i="23"/>
  <c r="O126" i="23"/>
  <c r="R126" i="23"/>
  <c r="N127" i="23"/>
  <c r="H31" i="23" l="1"/>
  <c r="J31" i="23"/>
  <c r="J32" i="23"/>
  <c r="H32" i="23"/>
  <c r="V63" i="23"/>
  <c r="W63" i="23" s="1"/>
  <c r="R125" i="23"/>
  <c r="S125" i="23" s="1"/>
  <c r="R128" i="23"/>
  <c r="O128" i="23"/>
  <c r="S124" i="23"/>
  <c r="V62" i="23"/>
  <c r="W62" i="23" s="1"/>
  <c r="S62" i="23"/>
  <c r="O127" i="23"/>
  <c r="R127" i="23"/>
  <c r="S126" i="23"/>
  <c r="V126" i="23"/>
  <c r="W126" i="23" s="1"/>
  <c r="K32" i="23" l="1"/>
  <c r="N32" i="23"/>
  <c r="K31" i="23"/>
  <c r="N31" i="23"/>
  <c r="V125" i="23"/>
  <c r="W125" i="23" s="1"/>
  <c r="S128" i="23"/>
  <c r="V128" i="23"/>
  <c r="W128" i="23" s="1"/>
  <c r="S127" i="23"/>
  <c r="V127" i="23"/>
  <c r="W127" i="23" s="1"/>
  <c r="O32" i="23" l="1"/>
  <c r="R32" i="23"/>
  <c r="O31" i="23"/>
  <c r="R31" i="23"/>
  <c r="C20" i="10"/>
  <c r="H92" i="17"/>
  <c r="K92" i="17"/>
  <c r="L92" i="17"/>
  <c r="O92" i="17"/>
  <c r="P92" i="17"/>
  <c r="S92" i="17"/>
  <c r="T92" i="17"/>
  <c r="W92" i="17"/>
  <c r="X92" i="17"/>
  <c r="Z92" i="17"/>
  <c r="H93" i="17"/>
  <c r="K93" i="17"/>
  <c r="L93" i="17"/>
  <c r="O93" i="17"/>
  <c r="P93" i="17"/>
  <c r="S93" i="17"/>
  <c r="T93" i="17"/>
  <c r="W93" i="17"/>
  <c r="X93" i="17"/>
  <c r="Z93" i="17"/>
  <c r="B92" i="17"/>
  <c r="B93" i="17"/>
  <c r="B94" i="17"/>
  <c r="B95" i="17"/>
  <c r="B96" i="17"/>
  <c r="B97" i="17"/>
  <c r="B98" i="17"/>
  <c r="B99" i="17"/>
  <c r="B100" i="17"/>
  <c r="B101" i="17"/>
  <c r="C92" i="17"/>
  <c r="D92" i="17"/>
  <c r="E92" i="17"/>
  <c r="V32" i="23" l="1"/>
  <c r="W32" i="23" s="1"/>
  <c r="S32" i="23"/>
  <c r="V31" i="23"/>
  <c r="W31" i="23" s="1"/>
  <c r="S31" i="23"/>
  <c r="F34" i="10"/>
  <c r="F101" i="9" s="1"/>
  <c r="C30" i="10"/>
  <c r="C22" i="10"/>
  <c r="F174" i="23" s="1"/>
  <c r="C21" i="10"/>
  <c r="F173" i="23" s="1"/>
  <c r="C19" i="10"/>
  <c r="C18" i="10"/>
  <c r="F172" i="23" s="1"/>
  <c r="C17" i="10"/>
  <c r="F171" i="23" s="1"/>
  <c r="C16" i="10"/>
  <c r="F170" i="23" s="1"/>
  <c r="C15" i="10"/>
  <c r="F165" i="23" s="1"/>
  <c r="C14" i="10"/>
  <c r="F164" i="23" s="1"/>
  <c r="C13" i="10"/>
  <c r="F163" i="23" s="1"/>
  <c r="C12" i="10"/>
  <c r="F162" i="23" s="1"/>
  <c r="C11" i="10"/>
  <c r="F161" i="23" s="1"/>
  <c r="C10" i="10"/>
  <c r="F160" i="23" s="1"/>
  <c r="F142" i="23" l="1"/>
  <c r="J142" i="23" s="1"/>
  <c r="K142" i="23" s="1"/>
  <c r="U101" i="9"/>
  <c r="F91" i="17"/>
  <c r="G101" i="9"/>
  <c r="G91" i="17" s="1"/>
  <c r="H170" i="23"/>
  <c r="J170" i="23"/>
  <c r="H172" i="23"/>
  <c r="J172" i="23"/>
  <c r="H174" i="23"/>
  <c r="J174" i="23"/>
  <c r="N142" i="23" l="1"/>
  <c r="R142" i="23" s="1"/>
  <c r="H142" i="23"/>
  <c r="V101" i="9"/>
  <c r="J91" i="17" s="1"/>
  <c r="Y101" i="9"/>
  <c r="I91" i="17"/>
  <c r="N172" i="23"/>
  <c r="K172" i="23"/>
  <c r="K174" i="23"/>
  <c r="N174" i="23"/>
  <c r="K170" i="23"/>
  <c r="N170" i="23"/>
  <c r="O142" i="23" l="1"/>
  <c r="Z101" i="9"/>
  <c r="N91" i="17" s="1"/>
  <c r="M91" i="17"/>
  <c r="AC101" i="9"/>
  <c r="O172" i="23"/>
  <c r="R172" i="23"/>
  <c r="R170" i="23"/>
  <c r="O170" i="23"/>
  <c r="O174" i="23"/>
  <c r="R174" i="23"/>
  <c r="S142" i="23"/>
  <c r="V142" i="23"/>
  <c r="W142" i="23" s="1"/>
  <c r="B151" i="17"/>
  <c r="C151" i="17"/>
  <c r="D151" i="17"/>
  <c r="E151" i="17"/>
  <c r="F151" i="17"/>
  <c r="H151" i="17"/>
  <c r="K151" i="17"/>
  <c r="L151" i="17"/>
  <c r="O151" i="17"/>
  <c r="P151" i="17"/>
  <c r="S151" i="17"/>
  <c r="T151" i="17"/>
  <c r="W151" i="17"/>
  <c r="X151" i="17"/>
  <c r="Z151" i="17"/>
  <c r="B154" i="17"/>
  <c r="C154" i="17"/>
  <c r="D154" i="17"/>
  <c r="E154" i="17"/>
  <c r="B155" i="17"/>
  <c r="C155" i="17"/>
  <c r="D155" i="17"/>
  <c r="E155" i="17"/>
  <c r="B158" i="17"/>
  <c r="C158" i="17"/>
  <c r="D158" i="17"/>
  <c r="E158" i="17"/>
  <c r="B159" i="17"/>
  <c r="C159" i="17"/>
  <c r="D159" i="17"/>
  <c r="E159" i="17"/>
  <c r="B160" i="17"/>
  <c r="C160" i="17"/>
  <c r="D160" i="17"/>
  <c r="E160" i="17"/>
  <c r="B161" i="17"/>
  <c r="C161" i="17"/>
  <c r="D161" i="17"/>
  <c r="E161" i="17"/>
  <c r="B162" i="17"/>
  <c r="C162" i="17"/>
  <c r="D162" i="17"/>
  <c r="E162" i="17"/>
  <c r="B163" i="17"/>
  <c r="C163" i="17"/>
  <c r="D163" i="17"/>
  <c r="E163" i="17"/>
  <c r="B164" i="17"/>
  <c r="C164" i="17"/>
  <c r="D164" i="17"/>
  <c r="E164" i="17"/>
  <c r="B165" i="17"/>
  <c r="Z150" i="17"/>
  <c r="X150" i="17"/>
  <c r="W150" i="17"/>
  <c r="T150" i="17"/>
  <c r="S150" i="17"/>
  <c r="P150" i="17"/>
  <c r="O150" i="17"/>
  <c r="L150" i="17"/>
  <c r="K150" i="17"/>
  <c r="H150" i="17"/>
  <c r="F150" i="17"/>
  <c r="E150" i="17"/>
  <c r="D150" i="17"/>
  <c r="C150" i="17"/>
  <c r="B150" i="17"/>
  <c r="B198" i="9"/>
  <c r="C198" i="9"/>
  <c r="D198" i="9"/>
  <c r="E198" i="9"/>
  <c r="G198" i="9" s="1"/>
  <c r="U198" i="9"/>
  <c r="I151" i="17" s="1"/>
  <c r="B200" i="9"/>
  <c r="C200" i="9"/>
  <c r="D200" i="9"/>
  <c r="E200" i="9"/>
  <c r="B201" i="9"/>
  <c r="D201" i="9"/>
  <c r="E201" i="9"/>
  <c r="G201" i="9" s="1"/>
  <c r="G154" i="17" s="1"/>
  <c r="U201" i="9"/>
  <c r="I154" i="17" s="1"/>
  <c r="B202" i="9"/>
  <c r="C202" i="9"/>
  <c r="D202" i="9"/>
  <c r="E202" i="9"/>
  <c r="G202" i="9" s="1"/>
  <c r="G155" i="17" s="1"/>
  <c r="U202" i="9"/>
  <c r="I155" i="17" s="1"/>
  <c r="B204" i="9"/>
  <c r="C204" i="9"/>
  <c r="D204" i="9"/>
  <c r="E204" i="9"/>
  <c r="B205" i="9"/>
  <c r="C205" i="9"/>
  <c r="D205" i="9"/>
  <c r="E205" i="9"/>
  <c r="G205" i="9" s="1"/>
  <c r="G158" i="17" s="1"/>
  <c r="U205" i="9"/>
  <c r="I158" i="17" s="1"/>
  <c r="B206" i="9"/>
  <c r="C206" i="9"/>
  <c r="D206" i="9"/>
  <c r="E206" i="9"/>
  <c r="G206" i="9" s="1"/>
  <c r="G159" i="17" s="1"/>
  <c r="U206" i="9"/>
  <c r="I159" i="17" s="1"/>
  <c r="B207" i="9"/>
  <c r="C207" i="9"/>
  <c r="D207" i="9"/>
  <c r="E207" i="9"/>
  <c r="G207" i="9" s="1"/>
  <c r="G160" i="17" s="1"/>
  <c r="U207" i="9"/>
  <c r="I160" i="17" s="1"/>
  <c r="B208" i="9"/>
  <c r="C208" i="9"/>
  <c r="D208" i="9"/>
  <c r="E208" i="9"/>
  <c r="B209" i="9"/>
  <c r="C209" i="9"/>
  <c r="D209" i="9"/>
  <c r="E209" i="9"/>
  <c r="G209" i="9" s="1"/>
  <c r="G162" i="17" s="1"/>
  <c r="U209" i="9"/>
  <c r="I162" i="17" s="1"/>
  <c r="B210" i="9"/>
  <c r="C210" i="9"/>
  <c r="D210" i="9"/>
  <c r="E210" i="9"/>
  <c r="G210" i="9" s="1"/>
  <c r="G163" i="17" s="1"/>
  <c r="U210" i="9"/>
  <c r="I163" i="17" s="1"/>
  <c r="B211" i="9"/>
  <c r="C211" i="9"/>
  <c r="D211" i="9"/>
  <c r="E211" i="9"/>
  <c r="G211" i="9" s="1"/>
  <c r="G164" i="17" s="1"/>
  <c r="U211" i="9"/>
  <c r="B212" i="9"/>
  <c r="G212" i="9"/>
  <c r="G165" i="17" s="1"/>
  <c r="U212" i="9"/>
  <c r="I165" i="17" s="1"/>
  <c r="U197" i="9"/>
  <c r="Y197" i="9" s="1"/>
  <c r="M150" i="17" s="1"/>
  <c r="E197" i="9"/>
  <c r="AK197" i="9" s="1"/>
  <c r="Y150" i="17" s="1"/>
  <c r="D197" i="9"/>
  <c r="C197" i="9"/>
  <c r="B197" i="9"/>
  <c r="C196" i="9"/>
  <c r="B196" i="9"/>
  <c r="C149" i="17"/>
  <c r="B149" i="17"/>
  <c r="I23" i="10"/>
  <c r="G204" i="9" l="1"/>
  <c r="G157" i="17" s="1"/>
  <c r="AK204" i="9"/>
  <c r="Y157" i="17" s="1"/>
  <c r="V204" i="9"/>
  <c r="J157" i="17" s="1"/>
  <c r="Z204" i="9"/>
  <c r="N157" i="17" s="1"/>
  <c r="AD204" i="9"/>
  <c r="R157" i="17" s="1"/>
  <c r="AH204" i="9"/>
  <c r="V157" i="17" s="1"/>
  <c r="F33" i="23"/>
  <c r="F208" i="9" s="1"/>
  <c r="G151" i="17"/>
  <c r="Q91" i="17"/>
  <c r="AD101" i="9"/>
  <c r="R91" i="17" s="1"/>
  <c r="AG101" i="9"/>
  <c r="Y211" i="9"/>
  <c r="M164" i="17" s="1"/>
  <c r="I164" i="17"/>
  <c r="Y212" i="9"/>
  <c r="M165" i="17" s="1"/>
  <c r="G200" i="9"/>
  <c r="G153" i="17" s="1"/>
  <c r="AK200" i="9"/>
  <c r="Y153" i="17" s="1"/>
  <c r="V200" i="9"/>
  <c r="J153" i="17" s="1"/>
  <c r="Z200" i="9"/>
  <c r="N153" i="17" s="1"/>
  <c r="AD200" i="9"/>
  <c r="R153" i="17" s="1"/>
  <c r="AH200" i="9"/>
  <c r="V153" i="17" s="1"/>
  <c r="V210" i="9"/>
  <c r="J163" i="17" s="1"/>
  <c r="V206" i="9"/>
  <c r="J159" i="17" s="1"/>
  <c r="Y202" i="9"/>
  <c r="M155" i="17" s="1"/>
  <c r="Y198" i="9"/>
  <c r="Y207" i="9"/>
  <c r="M160" i="17" s="1"/>
  <c r="I150" i="17"/>
  <c r="S174" i="23"/>
  <c r="V174" i="23"/>
  <c r="W174" i="23" s="1"/>
  <c r="V170" i="23"/>
  <c r="W170" i="23" s="1"/>
  <c r="S170" i="23"/>
  <c r="V172" i="23"/>
  <c r="W172" i="23" s="1"/>
  <c r="S172" i="23"/>
  <c r="V202" i="9"/>
  <c r="J155" i="17" s="1"/>
  <c r="V201" i="9"/>
  <c r="J154" i="17" s="1"/>
  <c r="AK211" i="9"/>
  <c r="Y164" i="17" s="1"/>
  <c r="Z197" i="9"/>
  <c r="N150" i="17" s="1"/>
  <c r="V197" i="9"/>
  <c r="J150" i="17" s="1"/>
  <c r="AK210" i="9"/>
  <c r="Y163" i="17" s="1"/>
  <c r="AK206" i="9"/>
  <c r="Y159" i="17" s="1"/>
  <c r="AK201" i="9"/>
  <c r="Y154" i="17" s="1"/>
  <c r="AK207" i="9"/>
  <c r="Y160" i="17" s="1"/>
  <c r="V211" i="9"/>
  <c r="J164" i="17" s="1"/>
  <c r="AK202" i="9"/>
  <c r="Y155" i="17" s="1"/>
  <c r="V212" i="9"/>
  <c r="J165" i="17" s="1"/>
  <c r="V207" i="9"/>
  <c r="J160" i="17" s="1"/>
  <c r="V209" i="9"/>
  <c r="J162" i="17" s="1"/>
  <c r="V205" i="9"/>
  <c r="J158" i="17" s="1"/>
  <c r="V198" i="9"/>
  <c r="J151" i="17" s="1"/>
  <c r="AK212" i="9"/>
  <c r="Y165" i="17" s="1"/>
  <c r="Y209" i="9"/>
  <c r="M162" i="17" s="1"/>
  <c r="Y205" i="9"/>
  <c r="M158" i="17" s="1"/>
  <c r="AK198" i="9"/>
  <c r="Y151" i="17" s="1"/>
  <c r="AK208" i="9"/>
  <c r="Y161" i="17" s="1"/>
  <c r="Y210" i="9"/>
  <c r="M163" i="17" s="1"/>
  <c r="AK209" i="9"/>
  <c r="Y162" i="17" s="1"/>
  <c r="Y206" i="9"/>
  <c r="M159" i="17" s="1"/>
  <c r="AK205" i="9"/>
  <c r="Y158" i="17" s="1"/>
  <c r="Y201" i="9"/>
  <c r="M154" i="17" s="1"/>
  <c r="AC197" i="9"/>
  <c r="Q150" i="17" s="1"/>
  <c r="G197" i="9"/>
  <c r="J242" i="23"/>
  <c r="N242" i="23" s="1"/>
  <c r="J243" i="23"/>
  <c r="N243" i="23" s="1"/>
  <c r="J244" i="23"/>
  <c r="N244" i="23" s="1"/>
  <c r="J245" i="23"/>
  <c r="N245" i="23" s="1"/>
  <c r="J246" i="23"/>
  <c r="N246" i="23" s="1"/>
  <c r="J247" i="23"/>
  <c r="N247" i="23" s="1"/>
  <c r="J248" i="23"/>
  <c r="N248" i="23" s="1"/>
  <c r="J249" i="23"/>
  <c r="N249" i="23" s="1"/>
  <c r="J250" i="23"/>
  <c r="N250" i="23" s="1"/>
  <c r="H245" i="23"/>
  <c r="H246" i="23"/>
  <c r="H247" i="23"/>
  <c r="H248" i="23"/>
  <c r="H249" i="23"/>
  <c r="H250" i="23"/>
  <c r="F161" i="17" l="1"/>
  <c r="U208" i="9"/>
  <c r="G208" i="9"/>
  <c r="AC211" i="9"/>
  <c r="Q164" i="17" s="1"/>
  <c r="Z211" i="9"/>
  <c r="N164" i="17" s="1"/>
  <c r="H33" i="23"/>
  <c r="J33" i="23"/>
  <c r="AC212" i="9"/>
  <c r="Q165" i="17" s="1"/>
  <c r="AH101" i="9"/>
  <c r="V91" i="17" s="1"/>
  <c r="U91" i="17"/>
  <c r="Z212" i="9"/>
  <c r="N165" i="17" s="1"/>
  <c r="AC202" i="9"/>
  <c r="Q155" i="17" s="1"/>
  <c r="K248" i="23"/>
  <c r="K246" i="23"/>
  <c r="K249" i="23"/>
  <c r="K242" i="23"/>
  <c r="K245" i="23"/>
  <c r="K244" i="23"/>
  <c r="K247" i="23"/>
  <c r="K243" i="23"/>
  <c r="K250" i="23"/>
  <c r="Z207" i="9"/>
  <c r="N160" i="17" s="1"/>
  <c r="AC207" i="9"/>
  <c r="Q160" i="17" s="1"/>
  <c r="Z202" i="9"/>
  <c r="N155" i="17" s="1"/>
  <c r="M151" i="17"/>
  <c r="AC198" i="9"/>
  <c r="Z198" i="9"/>
  <c r="N151" i="17" s="1"/>
  <c r="G150" i="17"/>
  <c r="Z201" i="9"/>
  <c r="N154" i="17" s="1"/>
  <c r="AC201" i="9"/>
  <c r="Q154" i="17" s="1"/>
  <c r="Z209" i="9"/>
  <c r="N162" i="17" s="1"/>
  <c r="AC209" i="9"/>
  <c r="Q162" i="17" s="1"/>
  <c r="Z206" i="9"/>
  <c r="N159" i="17" s="1"/>
  <c r="AC206" i="9"/>
  <c r="Q159" i="17" s="1"/>
  <c r="Z210" i="9"/>
  <c r="N163" i="17" s="1"/>
  <c r="AC210" i="9"/>
  <c r="Q163" i="17" s="1"/>
  <c r="Z205" i="9"/>
  <c r="N158" i="17" s="1"/>
  <c r="AC205" i="9"/>
  <c r="Q158" i="17" s="1"/>
  <c r="AG197" i="9"/>
  <c r="AD197" i="9"/>
  <c r="R150" i="17" s="1"/>
  <c r="O246" i="23"/>
  <c r="R246" i="23"/>
  <c r="O249" i="23"/>
  <c r="R249" i="23"/>
  <c r="O250" i="23"/>
  <c r="R250" i="23"/>
  <c r="O242" i="23"/>
  <c r="R242" i="23"/>
  <c r="O245" i="23"/>
  <c r="R245" i="23"/>
  <c r="O248" i="23"/>
  <c r="R248" i="23"/>
  <c r="O244" i="23"/>
  <c r="R244" i="23"/>
  <c r="O247" i="23"/>
  <c r="R247" i="23"/>
  <c r="O243" i="23"/>
  <c r="R243" i="23"/>
  <c r="AG212" i="9" l="1"/>
  <c r="U165" i="17" s="1"/>
  <c r="Y208" i="9"/>
  <c r="I161" i="17"/>
  <c r="V208" i="9"/>
  <c r="J161" i="17" s="1"/>
  <c r="G161" i="17"/>
  <c r="G196" i="9"/>
  <c r="AG211" i="9"/>
  <c r="U164" i="17" s="1"/>
  <c r="AD211" i="9"/>
  <c r="R164" i="17" s="1"/>
  <c r="AD212" i="9"/>
  <c r="R165" i="17" s="1"/>
  <c r="N33" i="23"/>
  <c r="K33" i="23"/>
  <c r="AG202" i="9"/>
  <c r="U155" i="17" s="1"/>
  <c r="AG207" i="9"/>
  <c r="U160" i="17" s="1"/>
  <c r="AD207" i="9"/>
  <c r="R160" i="17" s="1"/>
  <c r="AD202" i="9"/>
  <c r="R155" i="17" s="1"/>
  <c r="Q151" i="17"/>
  <c r="AG198" i="9"/>
  <c r="AD198" i="9"/>
  <c r="R151" i="17" s="1"/>
  <c r="AH197" i="9"/>
  <c r="V150" i="17" s="1"/>
  <c r="U150" i="17"/>
  <c r="AD201" i="9"/>
  <c r="R154" i="17" s="1"/>
  <c r="AG201" i="9"/>
  <c r="U154" i="17" s="1"/>
  <c r="AD205" i="9"/>
  <c r="R158" i="17" s="1"/>
  <c r="AG205" i="9"/>
  <c r="U158" i="17" s="1"/>
  <c r="AD210" i="9"/>
  <c r="R163" i="17" s="1"/>
  <c r="AG210" i="9"/>
  <c r="U163" i="17" s="1"/>
  <c r="AD206" i="9"/>
  <c r="R159" i="17" s="1"/>
  <c r="AG206" i="9"/>
  <c r="U159" i="17" s="1"/>
  <c r="AD209" i="9"/>
  <c r="R162" i="17" s="1"/>
  <c r="AG209" i="9"/>
  <c r="U162" i="17" s="1"/>
  <c r="S245" i="23"/>
  <c r="V245" i="23"/>
  <c r="W245" i="23" s="1"/>
  <c r="S244" i="23"/>
  <c r="V244" i="23"/>
  <c r="W244" i="23" s="1"/>
  <c r="S248" i="23"/>
  <c r="V248" i="23"/>
  <c r="W248" i="23" s="1"/>
  <c r="S250" i="23"/>
  <c r="V250" i="23"/>
  <c r="W250" i="23" s="1"/>
  <c r="S246" i="23"/>
  <c r="V246" i="23"/>
  <c r="W246" i="23" s="1"/>
  <c r="S242" i="23"/>
  <c r="V242" i="23"/>
  <c r="W242" i="23" s="1"/>
  <c r="S243" i="23"/>
  <c r="V243" i="23"/>
  <c r="W243" i="23" s="1"/>
  <c r="S247" i="23"/>
  <c r="V247" i="23"/>
  <c r="W247" i="23" s="1"/>
  <c r="S249" i="23"/>
  <c r="V249" i="23"/>
  <c r="W249" i="23" s="1"/>
  <c r="AH212" i="9" l="1"/>
  <c r="V165" i="17" s="1"/>
  <c r="AH202" i="9"/>
  <c r="V155" i="17" s="1"/>
  <c r="M161" i="17"/>
  <c r="AC208" i="9"/>
  <c r="Z208" i="9"/>
  <c r="N161" i="17" s="1"/>
  <c r="AH211" i="9"/>
  <c r="V164" i="17" s="1"/>
  <c r="R33" i="23"/>
  <c r="O33" i="23"/>
  <c r="AH207" i="9"/>
  <c r="V160" i="17" s="1"/>
  <c r="AH198" i="9"/>
  <c r="V151" i="17" s="1"/>
  <c r="U151" i="17"/>
  <c r="AH210" i="9"/>
  <c r="V163" i="17" s="1"/>
  <c r="AH209" i="9"/>
  <c r="V162" i="17" s="1"/>
  <c r="AH206" i="9"/>
  <c r="V159" i="17" s="1"/>
  <c r="AH205" i="9"/>
  <c r="V158" i="17" s="1"/>
  <c r="AH201" i="9"/>
  <c r="V154" i="17" s="1"/>
  <c r="K96" i="17"/>
  <c r="L96" i="17"/>
  <c r="O96" i="17"/>
  <c r="P96" i="17"/>
  <c r="S96" i="17"/>
  <c r="T96" i="17"/>
  <c r="W96" i="17"/>
  <c r="X96" i="17"/>
  <c r="Z96" i="17"/>
  <c r="H96" i="17"/>
  <c r="C2" i="23"/>
  <c r="C3" i="23"/>
  <c r="Q161" i="17" l="1"/>
  <c r="AD208" i="9"/>
  <c r="R161" i="17" s="1"/>
  <c r="AG208" i="9"/>
  <c r="S33" i="23"/>
  <c r="V33" i="23"/>
  <c r="W33" i="23" s="1"/>
  <c r="H179" i="23"/>
  <c r="J179" i="23"/>
  <c r="K179" i="23" s="1"/>
  <c r="H180" i="23"/>
  <c r="J180" i="23"/>
  <c r="K180" i="23" s="1"/>
  <c r="H181" i="23"/>
  <c r="J181" i="23"/>
  <c r="K181" i="23" s="1"/>
  <c r="H203" i="23"/>
  <c r="J203" i="23"/>
  <c r="K203" i="23" s="1"/>
  <c r="H178" i="23"/>
  <c r="J178" i="23"/>
  <c r="K178" i="23" s="1"/>
  <c r="H53" i="23"/>
  <c r="J53" i="23"/>
  <c r="K53" i="23" s="1"/>
  <c r="H208" i="23"/>
  <c r="J208" i="23"/>
  <c r="K208" i="23" s="1"/>
  <c r="H209" i="23"/>
  <c r="J209" i="23"/>
  <c r="K209" i="23" s="1"/>
  <c r="H210" i="23"/>
  <c r="J210" i="23"/>
  <c r="K210" i="23" s="1"/>
  <c r="H211" i="23"/>
  <c r="J211" i="23"/>
  <c r="K211" i="23" s="1"/>
  <c r="H50" i="23"/>
  <c r="J50" i="23"/>
  <c r="N50" i="23" s="1"/>
  <c r="H51" i="23"/>
  <c r="J51" i="23"/>
  <c r="K51" i="23" s="1"/>
  <c r="H52" i="23"/>
  <c r="J52" i="23"/>
  <c r="N52" i="23" s="1"/>
  <c r="H56" i="23"/>
  <c r="J56" i="23"/>
  <c r="K56" i="23" s="1"/>
  <c r="U161" i="17" l="1"/>
  <c r="AH208" i="9"/>
  <c r="V161" i="17" s="1"/>
  <c r="N210" i="23"/>
  <c r="R210" i="23" s="1"/>
  <c r="V210" i="23" s="1"/>
  <c r="W210" i="23" s="1"/>
  <c r="N211" i="23"/>
  <c r="O211" i="23" s="1"/>
  <c r="N203" i="23"/>
  <c r="O203" i="23" s="1"/>
  <c r="N180" i="23"/>
  <c r="R180" i="23" s="1"/>
  <c r="S180" i="23" s="1"/>
  <c r="K52" i="23"/>
  <c r="N181" i="23"/>
  <c r="N208" i="23"/>
  <c r="N209" i="23"/>
  <c r="N56" i="23"/>
  <c r="K50" i="23"/>
  <c r="N179" i="23"/>
  <c r="N178" i="23"/>
  <c r="N53" i="23"/>
  <c r="O50" i="23"/>
  <c r="R50" i="23"/>
  <c r="O52" i="23"/>
  <c r="R52" i="23"/>
  <c r="N51" i="23"/>
  <c r="O210" i="23" l="1"/>
  <c r="S210" i="23"/>
  <c r="R211" i="23"/>
  <c r="S211" i="23" s="1"/>
  <c r="R203" i="23"/>
  <c r="S203" i="23" s="1"/>
  <c r="V180" i="23"/>
  <c r="W180" i="23" s="1"/>
  <c r="O181" i="23"/>
  <c r="R181" i="23"/>
  <c r="O180" i="23"/>
  <c r="R209" i="23"/>
  <c r="O209" i="23"/>
  <c r="O208" i="23"/>
  <c r="R208" i="23"/>
  <c r="O56" i="23"/>
  <c r="R56" i="23"/>
  <c r="F4" i="24"/>
  <c r="F4" i="21"/>
  <c r="F4" i="19"/>
  <c r="F4" i="20"/>
  <c r="G3" i="23"/>
  <c r="F4" i="27"/>
  <c r="F4" i="18"/>
  <c r="F3" i="24"/>
  <c r="F3" i="21"/>
  <c r="F3" i="19"/>
  <c r="F3" i="18"/>
  <c r="F3" i="27"/>
  <c r="F3" i="20"/>
  <c r="G2" i="23"/>
  <c r="F5" i="24"/>
  <c r="F5" i="21"/>
  <c r="F5" i="19"/>
  <c r="G4" i="23"/>
  <c r="F5" i="27"/>
  <c r="F5" i="20"/>
  <c r="F5" i="18"/>
  <c r="O179" i="23"/>
  <c r="R179" i="23"/>
  <c r="O178" i="23"/>
  <c r="R178" i="23"/>
  <c r="O53" i="23"/>
  <c r="R53" i="23"/>
  <c r="S50" i="23"/>
  <c r="V50" i="23"/>
  <c r="W50" i="23" s="1"/>
  <c r="V52" i="23"/>
  <c r="W52" i="23" s="1"/>
  <c r="S52" i="23"/>
  <c r="O51" i="23"/>
  <c r="R51" i="23"/>
  <c r="U215" i="9"/>
  <c r="Y215" i="9" s="1"/>
  <c r="U216" i="9"/>
  <c r="U217" i="9"/>
  <c r="Y217" i="9" s="1"/>
  <c r="AC217" i="9" s="1"/>
  <c r="U218" i="9"/>
  <c r="U219" i="9"/>
  <c r="U220" i="9"/>
  <c r="U221" i="9"/>
  <c r="Y221" i="9" s="1"/>
  <c r="U222" i="9"/>
  <c r="U223" i="9"/>
  <c r="Y223" i="9" s="1"/>
  <c r="U227" i="9"/>
  <c r="Y227" i="9" s="1"/>
  <c r="U228" i="9"/>
  <c r="U229" i="9"/>
  <c r="Y229" i="9" s="1"/>
  <c r="U214" i="9"/>
  <c r="Y214" i="9" s="1"/>
  <c r="V203" i="23" l="1"/>
  <c r="W203" i="23" s="1"/>
  <c r="V211" i="23"/>
  <c r="W211" i="23" s="1"/>
  <c r="V181" i="23"/>
  <c r="W181" i="23" s="1"/>
  <c r="S181" i="23"/>
  <c r="S208" i="23"/>
  <c r="V208" i="23"/>
  <c r="W208" i="23" s="1"/>
  <c r="S209" i="23"/>
  <c r="V209" i="23"/>
  <c r="W209" i="23" s="1"/>
  <c r="S56" i="23"/>
  <c r="V56" i="23"/>
  <c r="W56" i="23" s="1"/>
  <c r="S179" i="23"/>
  <c r="V179" i="23"/>
  <c r="W179" i="23" s="1"/>
  <c r="S178" i="23"/>
  <c r="V178" i="23"/>
  <c r="W178" i="23" s="1"/>
  <c r="S53" i="23"/>
  <c r="V53" i="23"/>
  <c r="W53" i="23" s="1"/>
  <c r="S51" i="23"/>
  <c r="V51" i="23"/>
  <c r="W51" i="23" s="1"/>
  <c r="AC229" i="9"/>
  <c r="AG229" i="9" s="1"/>
  <c r="AC227" i="9"/>
  <c r="AG227" i="9" s="1"/>
  <c r="Y219" i="9"/>
  <c r="Y220" i="9"/>
  <c r="AG217" i="9"/>
  <c r="Y218" i="9"/>
  <c r="AC223" i="9"/>
  <c r="AC221" i="9"/>
  <c r="AC215" i="9"/>
  <c r="Y228" i="9"/>
  <c r="Y216" i="9"/>
  <c r="Y222" i="9"/>
  <c r="AC214" i="9"/>
  <c r="J165" i="23"/>
  <c r="N165" i="23" s="1"/>
  <c r="H165" i="23"/>
  <c r="K165" i="23" l="1"/>
  <c r="AC219" i="9"/>
  <c r="Q172" i="17" s="1"/>
  <c r="AC220" i="9"/>
  <c r="Q173" i="17" s="1"/>
  <c r="AC218" i="9"/>
  <c r="Q171" i="17" s="1"/>
  <c r="AG221" i="9"/>
  <c r="AG215" i="9"/>
  <c r="AC222" i="9"/>
  <c r="AC216" i="9"/>
  <c r="Q169" i="17" s="1"/>
  <c r="AG223" i="9"/>
  <c r="AC228" i="9"/>
  <c r="AG214" i="9"/>
  <c r="O165" i="23"/>
  <c r="R165" i="23"/>
  <c r="F168" i="17"/>
  <c r="H168" i="17"/>
  <c r="I168" i="17"/>
  <c r="K168" i="17"/>
  <c r="L168" i="17"/>
  <c r="M168" i="17"/>
  <c r="O168" i="17"/>
  <c r="P168" i="17"/>
  <c r="Q168" i="17"/>
  <c r="S168" i="17"/>
  <c r="T168" i="17"/>
  <c r="W168" i="17"/>
  <c r="X168" i="17"/>
  <c r="Z168" i="17"/>
  <c r="F169" i="17"/>
  <c r="H169" i="17"/>
  <c r="I169" i="17"/>
  <c r="K169" i="17"/>
  <c r="L169" i="17"/>
  <c r="M169" i="17"/>
  <c r="O169" i="17"/>
  <c r="P169" i="17"/>
  <c r="S169" i="17"/>
  <c r="T169" i="17"/>
  <c r="W169" i="17"/>
  <c r="X169" i="17"/>
  <c r="Z169" i="17"/>
  <c r="F170" i="17"/>
  <c r="H170" i="17"/>
  <c r="I170" i="17"/>
  <c r="K170" i="17"/>
  <c r="L170" i="17"/>
  <c r="M170" i="17"/>
  <c r="O170" i="17"/>
  <c r="P170" i="17"/>
  <c r="Q170" i="17"/>
  <c r="S170" i="17"/>
  <c r="T170" i="17"/>
  <c r="U170" i="17"/>
  <c r="W170" i="17"/>
  <c r="X170" i="17"/>
  <c r="Z170" i="17"/>
  <c r="F171" i="17"/>
  <c r="H171" i="17"/>
  <c r="I171" i="17"/>
  <c r="K171" i="17"/>
  <c r="L171" i="17"/>
  <c r="M171" i="17"/>
  <c r="O171" i="17"/>
  <c r="P171" i="17"/>
  <c r="S171" i="17"/>
  <c r="T171" i="17"/>
  <c r="W171" i="17"/>
  <c r="X171" i="17"/>
  <c r="Z171" i="17"/>
  <c r="F172" i="17"/>
  <c r="H172" i="17"/>
  <c r="I172" i="17"/>
  <c r="K172" i="17"/>
  <c r="L172" i="17"/>
  <c r="M172" i="17"/>
  <c r="O172" i="17"/>
  <c r="P172" i="17"/>
  <c r="S172" i="17"/>
  <c r="T172" i="17"/>
  <c r="W172" i="17"/>
  <c r="X172" i="17"/>
  <c r="Z172" i="17"/>
  <c r="F173" i="17"/>
  <c r="H173" i="17"/>
  <c r="I173" i="17"/>
  <c r="K173" i="17"/>
  <c r="L173" i="17"/>
  <c r="M173" i="17"/>
  <c r="O173" i="17"/>
  <c r="P173" i="17"/>
  <c r="S173" i="17"/>
  <c r="T173" i="17"/>
  <c r="W173" i="17"/>
  <c r="X173" i="17"/>
  <c r="Z173" i="17"/>
  <c r="F174" i="17"/>
  <c r="H174" i="17"/>
  <c r="I174" i="17"/>
  <c r="K174" i="17"/>
  <c r="L174" i="17"/>
  <c r="M174" i="17"/>
  <c r="O174" i="17"/>
  <c r="P174" i="17"/>
  <c r="Q174" i="17"/>
  <c r="S174" i="17"/>
  <c r="T174" i="17"/>
  <c r="W174" i="17"/>
  <c r="X174" i="17"/>
  <c r="Z174" i="17"/>
  <c r="F175" i="17"/>
  <c r="H175" i="17"/>
  <c r="I175" i="17"/>
  <c r="K175" i="17"/>
  <c r="L175" i="17"/>
  <c r="M175" i="17"/>
  <c r="O175" i="17"/>
  <c r="P175" i="17"/>
  <c r="S175" i="17"/>
  <c r="T175" i="17"/>
  <c r="W175" i="17"/>
  <c r="X175" i="17"/>
  <c r="Z175" i="17"/>
  <c r="F176" i="17"/>
  <c r="H176" i="17"/>
  <c r="I176" i="17"/>
  <c r="K176" i="17"/>
  <c r="L176" i="17"/>
  <c r="M176" i="17"/>
  <c r="O176" i="17"/>
  <c r="P176" i="17"/>
  <c r="Q176" i="17"/>
  <c r="S176" i="17"/>
  <c r="T176" i="17"/>
  <c r="W176" i="17"/>
  <c r="X176" i="17"/>
  <c r="Z176" i="17"/>
  <c r="F179" i="17"/>
  <c r="H179" i="17"/>
  <c r="I179" i="17"/>
  <c r="K179" i="17"/>
  <c r="L179" i="17"/>
  <c r="M179" i="17"/>
  <c r="O179" i="17"/>
  <c r="P179" i="17"/>
  <c r="S179" i="17"/>
  <c r="T179" i="17"/>
  <c r="W179" i="17"/>
  <c r="X179" i="17"/>
  <c r="Z179" i="17"/>
  <c r="F180" i="17"/>
  <c r="H180" i="17"/>
  <c r="I180" i="17"/>
  <c r="K180" i="17"/>
  <c r="L180" i="17"/>
  <c r="M180" i="17"/>
  <c r="O180" i="17"/>
  <c r="P180" i="17"/>
  <c r="Q180" i="17"/>
  <c r="S180" i="17"/>
  <c r="T180" i="17"/>
  <c r="U180" i="17"/>
  <c r="W180" i="17"/>
  <c r="X180" i="17"/>
  <c r="Z180" i="17"/>
  <c r="F181" i="17"/>
  <c r="H181" i="17"/>
  <c r="I181" i="17"/>
  <c r="K181" i="17"/>
  <c r="L181" i="17"/>
  <c r="M181" i="17"/>
  <c r="O181" i="17"/>
  <c r="P181" i="17"/>
  <c r="S181" i="17"/>
  <c r="T181" i="17"/>
  <c r="W181" i="17"/>
  <c r="X181" i="17"/>
  <c r="Z181" i="17"/>
  <c r="F182" i="17"/>
  <c r="H182" i="17"/>
  <c r="I182" i="17"/>
  <c r="K182" i="17"/>
  <c r="L182" i="17"/>
  <c r="M182" i="17"/>
  <c r="O182" i="17"/>
  <c r="P182" i="17"/>
  <c r="Q182" i="17"/>
  <c r="S182" i="17"/>
  <c r="T182" i="17"/>
  <c r="U182" i="17"/>
  <c r="W182" i="17"/>
  <c r="X182" i="17"/>
  <c r="Z182" i="17"/>
  <c r="Z167" i="17"/>
  <c r="X167" i="17"/>
  <c r="W167" i="17"/>
  <c r="T167" i="17"/>
  <c r="S167" i="17"/>
  <c r="Q167" i="17"/>
  <c r="P167" i="17"/>
  <c r="O167" i="17"/>
  <c r="M167" i="17"/>
  <c r="L167" i="17"/>
  <c r="K167" i="17"/>
  <c r="I167" i="17"/>
  <c r="H167" i="17"/>
  <c r="F167" i="17"/>
  <c r="D168" i="17"/>
  <c r="E168" i="17"/>
  <c r="D169" i="17"/>
  <c r="E169" i="17"/>
  <c r="D170" i="17"/>
  <c r="E170" i="17"/>
  <c r="D171" i="17"/>
  <c r="E171" i="17"/>
  <c r="D172" i="17"/>
  <c r="E172" i="17"/>
  <c r="D173" i="17"/>
  <c r="E173" i="17"/>
  <c r="D174" i="17"/>
  <c r="E174" i="17"/>
  <c r="D175" i="17"/>
  <c r="E175" i="17"/>
  <c r="D176" i="17"/>
  <c r="E176" i="17"/>
  <c r="D179" i="17"/>
  <c r="E179" i="17"/>
  <c r="D180" i="17"/>
  <c r="E180" i="17"/>
  <c r="D181" i="17"/>
  <c r="E181" i="17"/>
  <c r="D182" i="17"/>
  <c r="E182" i="17"/>
  <c r="E167" i="17"/>
  <c r="D167" i="17"/>
  <c r="B182" i="17"/>
  <c r="C182" i="17"/>
  <c r="B176" i="17"/>
  <c r="C176" i="17"/>
  <c r="B179" i="17"/>
  <c r="C179" i="17"/>
  <c r="B180" i="17"/>
  <c r="C180" i="17"/>
  <c r="B181" i="17"/>
  <c r="C181" i="17"/>
  <c r="B168" i="17"/>
  <c r="C168" i="17"/>
  <c r="B169" i="17"/>
  <c r="C169" i="17"/>
  <c r="B170" i="17"/>
  <c r="C170" i="17"/>
  <c r="B171" i="17"/>
  <c r="C171" i="17"/>
  <c r="B172" i="17"/>
  <c r="C172" i="17"/>
  <c r="B173" i="17"/>
  <c r="C173" i="17"/>
  <c r="B174" i="17"/>
  <c r="C174" i="17"/>
  <c r="B175" i="17"/>
  <c r="C175" i="17"/>
  <c r="C167" i="17"/>
  <c r="B167" i="17"/>
  <c r="C166" i="17"/>
  <c r="B166" i="17"/>
  <c r="AG220" i="9" l="1"/>
  <c r="U173" i="17" s="1"/>
  <c r="AG219" i="9"/>
  <c r="U176" i="17"/>
  <c r="AG218" i="9"/>
  <c r="AG222" i="9"/>
  <c r="AG228" i="9"/>
  <c r="Q181" i="17"/>
  <c r="Q179" i="17"/>
  <c r="Q175" i="17"/>
  <c r="U174" i="17"/>
  <c r="U168" i="17"/>
  <c r="AG216" i="9"/>
  <c r="U167" i="17"/>
  <c r="S165" i="23"/>
  <c r="V165" i="23"/>
  <c r="W165" i="23" s="1"/>
  <c r="E11" i="30"/>
  <c r="H10" i="30"/>
  <c r="U172" i="17" l="1"/>
  <c r="U171" i="17"/>
  <c r="U175" i="17"/>
  <c r="U169" i="17"/>
  <c r="U179" i="17"/>
  <c r="U181" i="17"/>
  <c r="B227" i="9"/>
  <c r="C227" i="9"/>
  <c r="D227" i="9"/>
  <c r="E227" i="9"/>
  <c r="B228" i="9"/>
  <c r="C228" i="9"/>
  <c r="D228" i="9"/>
  <c r="E228" i="9"/>
  <c r="B229" i="9"/>
  <c r="C229" i="9"/>
  <c r="D229" i="9"/>
  <c r="E229" i="9"/>
  <c r="B220" i="9"/>
  <c r="C220" i="9"/>
  <c r="D220" i="9"/>
  <c r="E220" i="9"/>
  <c r="B221" i="9"/>
  <c r="C221" i="9"/>
  <c r="D221" i="9"/>
  <c r="E221" i="9"/>
  <c r="B222" i="9"/>
  <c r="C222" i="9"/>
  <c r="D222" i="9"/>
  <c r="E222" i="9"/>
  <c r="AH222" i="9" s="1"/>
  <c r="V175" i="17" s="1"/>
  <c r="B223" i="9"/>
  <c r="C223" i="9"/>
  <c r="D223" i="9"/>
  <c r="E223" i="9"/>
  <c r="D215" i="9"/>
  <c r="E215" i="9"/>
  <c r="D216" i="9"/>
  <c r="E216" i="9"/>
  <c r="AH216" i="9" s="1"/>
  <c r="V169" i="17" s="1"/>
  <c r="D217" i="9"/>
  <c r="E217" i="9"/>
  <c r="D218" i="9"/>
  <c r="E218" i="9"/>
  <c r="AH218" i="9" s="1"/>
  <c r="V171" i="17" s="1"/>
  <c r="D219" i="9"/>
  <c r="E219" i="9"/>
  <c r="E214" i="9"/>
  <c r="D214" i="9"/>
  <c r="B215" i="9"/>
  <c r="C215" i="9"/>
  <c r="B216" i="9"/>
  <c r="C216" i="9"/>
  <c r="B217" i="9"/>
  <c r="C217" i="9"/>
  <c r="B218" i="9"/>
  <c r="C218" i="9"/>
  <c r="B219" i="9"/>
  <c r="C219" i="9"/>
  <c r="C214" i="9"/>
  <c r="B214" i="9"/>
  <c r="C213" i="9"/>
  <c r="B213" i="9"/>
  <c r="F58" i="10"/>
  <c r="F57" i="10"/>
  <c r="F63" i="10"/>
  <c r="F56" i="10"/>
  <c r="F55" i="10"/>
  <c r="F64" i="10"/>
  <c r="F83" i="23" l="1"/>
  <c r="G179" i="17"/>
  <c r="Y179" i="17"/>
  <c r="J179" i="17"/>
  <c r="N179" i="17"/>
  <c r="R179" i="17"/>
  <c r="G228" i="9"/>
  <c r="G181" i="17" s="1"/>
  <c r="AK228" i="9"/>
  <c r="Y181" i="17" s="1"/>
  <c r="V228" i="9"/>
  <c r="J181" i="17" s="1"/>
  <c r="Z228" i="9"/>
  <c r="N181" i="17" s="1"/>
  <c r="AD228" i="9"/>
  <c r="R181" i="17" s="1"/>
  <c r="G219" i="9"/>
  <c r="G172" i="17" s="1"/>
  <c r="AK219" i="9"/>
  <c r="Y172" i="17" s="1"/>
  <c r="V219" i="9"/>
  <c r="J172" i="17" s="1"/>
  <c r="Z219" i="9"/>
  <c r="N172" i="17" s="1"/>
  <c r="AD219" i="9"/>
  <c r="R172" i="17" s="1"/>
  <c r="G220" i="9"/>
  <c r="G173" i="17" s="1"/>
  <c r="AK220" i="9"/>
  <c r="Y173" i="17" s="1"/>
  <c r="V220" i="9"/>
  <c r="J173" i="17" s="1"/>
  <c r="Z220" i="9"/>
  <c r="N173" i="17" s="1"/>
  <c r="AD220" i="9"/>
  <c r="R173" i="17" s="1"/>
  <c r="AH220" i="9"/>
  <c r="V173" i="17" s="1"/>
  <c r="G217" i="9"/>
  <c r="G170" i="17" s="1"/>
  <c r="AK217" i="9"/>
  <c r="Y170" i="17" s="1"/>
  <c r="Z217" i="9"/>
  <c r="N170" i="17" s="1"/>
  <c r="V217" i="9"/>
  <c r="J170" i="17" s="1"/>
  <c r="AD217" i="9"/>
  <c r="R170" i="17" s="1"/>
  <c r="AH217" i="9"/>
  <c r="V170" i="17" s="1"/>
  <c r="AH228" i="9"/>
  <c r="V181" i="17" s="1"/>
  <c r="G215" i="9"/>
  <c r="G168" i="17" s="1"/>
  <c r="AK215" i="9"/>
  <c r="Y168" i="17" s="1"/>
  <c r="Z215" i="9"/>
  <c r="N168" i="17" s="1"/>
  <c r="V215" i="9"/>
  <c r="J168" i="17" s="1"/>
  <c r="AD215" i="9"/>
  <c r="R168" i="17" s="1"/>
  <c r="AH215" i="9"/>
  <c r="V168" i="17" s="1"/>
  <c r="G218" i="9"/>
  <c r="G171" i="17" s="1"/>
  <c r="AK218" i="9"/>
  <c r="Y171" i="17" s="1"/>
  <c r="V218" i="9"/>
  <c r="J171" i="17" s="1"/>
  <c r="Z218" i="9"/>
  <c r="N171" i="17" s="1"/>
  <c r="AD218" i="9"/>
  <c r="R171" i="17" s="1"/>
  <c r="G222" i="9"/>
  <c r="G175" i="17" s="1"/>
  <c r="AK222" i="9"/>
  <c r="Y175" i="17" s="1"/>
  <c r="V222" i="9"/>
  <c r="J175" i="17" s="1"/>
  <c r="Z222" i="9"/>
  <c r="N175" i="17" s="1"/>
  <c r="AD222" i="9"/>
  <c r="R175" i="17" s="1"/>
  <c r="G216" i="9"/>
  <c r="G169" i="17" s="1"/>
  <c r="AK216" i="9"/>
  <c r="Y169" i="17" s="1"/>
  <c r="V216" i="9"/>
  <c r="J169" i="17" s="1"/>
  <c r="Z216" i="9"/>
  <c r="N169" i="17" s="1"/>
  <c r="AD216" i="9"/>
  <c r="R169" i="17" s="1"/>
  <c r="G223" i="9"/>
  <c r="G176" i="17" s="1"/>
  <c r="AK223" i="9"/>
  <c r="Y176" i="17" s="1"/>
  <c r="V223" i="9"/>
  <c r="J176" i="17" s="1"/>
  <c r="Z223" i="9"/>
  <c r="N176" i="17" s="1"/>
  <c r="AD223" i="9"/>
  <c r="R176" i="17" s="1"/>
  <c r="AH223" i="9"/>
  <c r="V176" i="17" s="1"/>
  <c r="G221" i="9"/>
  <c r="G174" i="17" s="1"/>
  <c r="V221" i="9"/>
  <c r="J174" i="17" s="1"/>
  <c r="AK221" i="9"/>
  <c r="Y174" i="17" s="1"/>
  <c r="Z221" i="9"/>
  <c r="N174" i="17" s="1"/>
  <c r="AD221" i="9"/>
  <c r="R174" i="17" s="1"/>
  <c r="AH221" i="9"/>
  <c r="V174" i="17" s="1"/>
  <c r="G229" i="9"/>
  <c r="G182" i="17" s="1"/>
  <c r="V229" i="9"/>
  <c r="J182" i="17" s="1"/>
  <c r="AK229" i="9"/>
  <c r="Y182" i="17" s="1"/>
  <c r="Z229" i="9"/>
  <c r="N182" i="17" s="1"/>
  <c r="AD229" i="9"/>
  <c r="R182" i="17" s="1"/>
  <c r="AH229" i="9"/>
  <c r="V182" i="17" s="1"/>
  <c r="G227" i="9"/>
  <c r="G180" i="17" s="1"/>
  <c r="AK227" i="9"/>
  <c r="Y180" i="17" s="1"/>
  <c r="Z227" i="9"/>
  <c r="N180" i="17" s="1"/>
  <c r="V227" i="9"/>
  <c r="J180" i="17" s="1"/>
  <c r="AD227" i="9"/>
  <c r="R180" i="17" s="1"/>
  <c r="AH227" i="9"/>
  <c r="V180" i="17" s="1"/>
  <c r="G214" i="9"/>
  <c r="AK214" i="9"/>
  <c r="Y167" i="17" s="1"/>
  <c r="Z214" i="9"/>
  <c r="N167" i="17" s="1"/>
  <c r="V214" i="9"/>
  <c r="J167" i="17" s="1"/>
  <c r="AD214" i="9"/>
  <c r="R167" i="17" s="1"/>
  <c r="AH214" i="9"/>
  <c r="V167" i="17" s="1"/>
  <c r="V179" i="17"/>
  <c r="AH219" i="9"/>
  <c r="V172" i="17" s="1"/>
  <c r="E9" i="30"/>
  <c r="E8" i="30"/>
  <c r="E7" i="30"/>
  <c r="E6" i="30"/>
  <c r="E5" i="30"/>
  <c r="E4" i="30"/>
  <c r="H13" i="30"/>
  <c r="G13" i="30"/>
  <c r="H12" i="30"/>
  <c r="H11" i="30"/>
  <c r="H14" i="30"/>
  <c r="E13" i="30"/>
  <c r="E12" i="30"/>
  <c r="E10" i="30"/>
  <c r="G167" i="17" l="1"/>
  <c r="G213" i="9"/>
  <c r="K122" i="9"/>
  <c r="G22" i="19" s="1"/>
  <c r="U122" i="9"/>
  <c r="F22" i="19"/>
  <c r="K119" i="9"/>
  <c r="G19" i="19" s="1"/>
  <c r="U119" i="9"/>
  <c r="F19" i="19"/>
  <c r="U121" i="9"/>
  <c r="F21" i="19"/>
  <c r="K121" i="9"/>
  <c r="G21" i="19" s="1"/>
  <c r="K120" i="9"/>
  <c r="G20" i="19" s="1"/>
  <c r="F20" i="19"/>
  <c r="U120" i="9"/>
  <c r="E14" i="30"/>
  <c r="E15" i="30" s="1"/>
  <c r="H242" i="23"/>
  <c r="H243" i="23"/>
  <c r="H244" i="23"/>
  <c r="H230" i="23"/>
  <c r="J230" i="23"/>
  <c r="K230" i="23" s="1"/>
  <c r="H231" i="23"/>
  <c r="J231" i="23"/>
  <c r="N231" i="23" s="1"/>
  <c r="H232" i="23"/>
  <c r="J232" i="23"/>
  <c r="K232" i="23" s="1"/>
  <c r="H233" i="23"/>
  <c r="J233" i="23"/>
  <c r="K233" i="23" s="1"/>
  <c r="H234" i="23"/>
  <c r="J234" i="23"/>
  <c r="N234" i="23" s="1"/>
  <c r="O234" i="23" s="1"/>
  <c r="H235" i="23"/>
  <c r="J235" i="23"/>
  <c r="N235" i="23" s="1"/>
  <c r="H236" i="23"/>
  <c r="J236" i="23"/>
  <c r="K236" i="23" s="1"/>
  <c r="H237" i="23"/>
  <c r="J237" i="23"/>
  <c r="N237" i="23" s="1"/>
  <c r="R237" i="23" s="1"/>
  <c r="H238" i="23"/>
  <c r="J238" i="23"/>
  <c r="K238" i="23" s="1"/>
  <c r="H239" i="23"/>
  <c r="J239" i="23"/>
  <c r="N239" i="23" s="1"/>
  <c r="H240" i="23"/>
  <c r="J240" i="23"/>
  <c r="K240" i="23" s="1"/>
  <c r="I20" i="19" l="1"/>
  <c r="Y120" i="9"/>
  <c r="V120" i="9"/>
  <c r="J20" i="19" s="1"/>
  <c r="V122" i="9"/>
  <c r="J22" i="19" s="1"/>
  <c r="I22" i="19"/>
  <c r="Y122" i="9"/>
  <c r="I21" i="19"/>
  <c r="Y121" i="9"/>
  <c r="V121" i="9"/>
  <c r="J21" i="19" s="1"/>
  <c r="Y119" i="9"/>
  <c r="I19" i="19"/>
  <c r="V119" i="9"/>
  <c r="J19" i="19" s="1"/>
  <c r="K234" i="23"/>
  <c r="K237" i="23"/>
  <c r="K239" i="23"/>
  <c r="K231" i="23"/>
  <c r="N238" i="23"/>
  <c r="O238" i="23" s="1"/>
  <c r="K235" i="23"/>
  <c r="N233" i="23"/>
  <c r="O237" i="23"/>
  <c r="S237" i="23"/>
  <c r="V237" i="23"/>
  <c r="W237" i="23" s="1"/>
  <c r="O235" i="23"/>
  <c r="R235" i="23"/>
  <c r="O239" i="23"/>
  <c r="R239" i="23"/>
  <c r="O231" i="23"/>
  <c r="R231" i="23"/>
  <c r="N240" i="23"/>
  <c r="N232" i="23"/>
  <c r="N230" i="23"/>
  <c r="N236" i="23"/>
  <c r="R234" i="23"/>
  <c r="M21" i="19" l="1"/>
  <c r="Z121" i="9"/>
  <c r="N21" i="19" s="1"/>
  <c r="AC121" i="9"/>
  <c r="M22" i="19"/>
  <c r="AC122" i="9"/>
  <c r="Z122" i="9"/>
  <c r="N22" i="19" s="1"/>
  <c r="M19" i="19"/>
  <c r="Z119" i="9"/>
  <c r="N19" i="19" s="1"/>
  <c r="AC119" i="9"/>
  <c r="M20" i="19"/>
  <c r="Z120" i="9"/>
  <c r="N20" i="19" s="1"/>
  <c r="AC120" i="9"/>
  <c r="R238" i="23"/>
  <c r="V238" i="23" s="1"/>
  <c r="W238" i="23" s="1"/>
  <c r="R233" i="23"/>
  <c r="O233" i="23"/>
  <c r="V231" i="23"/>
  <c r="W231" i="23" s="1"/>
  <c r="S231" i="23"/>
  <c r="S234" i="23"/>
  <c r="V234" i="23"/>
  <c r="W234" i="23" s="1"/>
  <c r="S235" i="23"/>
  <c r="V235" i="23"/>
  <c r="W235" i="23" s="1"/>
  <c r="V239" i="23"/>
  <c r="W239" i="23" s="1"/>
  <c r="S239" i="23"/>
  <c r="O236" i="23"/>
  <c r="R236" i="23"/>
  <c r="O230" i="23"/>
  <c r="R230" i="23"/>
  <c r="R232" i="23"/>
  <c r="O232" i="23"/>
  <c r="R240" i="23"/>
  <c r="O240" i="23"/>
  <c r="Q20" i="19" l="1"/>
  <c r="AG120" i="9"/>
  <c r="AD120" i="9"/>
  <c r="R20" i="19" s="1"/>
  <c r="Q21" i="19"/>
  <c r="AG121" i="9"/>
  <c r="AD121" i="9"/>
  <c r="R21" i="19" s="1"/>
  <c r="Q22" i="19"/>
  <c r="AG122" i="9"/>
  <c r="AD122" i="9"/>
  <c r="R22" i="19" s="1"/>
  <c r="Q19" i="19"/>
  <c r="AG119" i="9"/>
  <c r="AD119" i="9"/>
  <c r="R19" i="19" s="1"/>
  <c r="S238" i="23"/>
  <c r="V233" i="23"/>
  <c r="W233" i="23" s="1"/>
  <c r="S233" i="23"/>
  <c r="S236" i="23"/>
  <c r="V236" i="23"/>
  <c r="W236" i="23" s="1"/>
  <c r="S240" i="23"/>
  <c r="V240" i="23"/>
  <c r="W240" i="23" s="1"/>
  <c r="S232" i="23"/>
  <c r="V232" i="23"/>
  <c r="W232" i="23" s="1"/>
  <c r="S230" i="23"/>
  <c r="V230" i="23"/>
  <c r="W230" i="23" s="1"/>
  <c r="F58" i="23"/>
  <c r="F57" i="23"/>
  <c r="F55" i="23"/>
  <c r="F53" i="10"/>
  <c r="F67" i="10"/>
  <c r="F54" i="10"/>
  <c r="F65" i="10"/>
  <c r="F66" i="10"/>
  <c r="I35" i="22" l="1"/>
  <c r="I45" i="22" s="1"/>
  <c r="AH122" i="9"/>
  <c r="V22" i="19" s="1"/>
  <c r="U22" i="19"/>
  <c r="AH121" i="9"/>
  <c r="V21" i="19" s="1"/>
  <c r="U21" i="19"/>
  <c r="AH119" i="9"/>
  <c r="V19" i="19" s="1"/>
  <c r="U19" i="19"/>
  <c r="AH120" i="9"/>
  <c r="V20" i="19" s="1"/>
  <c r="U20" i="19"/>
  <c r="H55" i="23"/>
  <c r="J55" i="23"/>
  <c r="H57" i="23"/>
  <c r="J57" i="23"/>
  <c r="J18" i="23"/>
  <c r="N18" i="23" s="1"/>
  <c r="H18" i="23"/>
  <c r="J17" i="23"/>
  <c r="K17" i="23" s="1"/>
  <c r="H17" i="23"/>
  <c r="J16" i="23"/>
  <c r="N16" i="23" s="1"/>
  <c r="H16" i="23"/>
  <c r="I68" i="10"/>
  <c r="I65" i="10"/>
  <c r="I43" i="10"/>
  <c r="F47" i="10"/>
  <c r="I66" i="10"/>
  <c r="F51" i="10"/>
  <c r="I64" i="10"/>
  <c r="I40" i="10"/>
  <c r="I42" i="10"/>
  <c r="I61" i="10"/>
  <c r="I41" i="10"/>
  <c r="I63" i="10"/>
  <c r="I62" i="10"/>
  <c r="I12" i="22" l="1"/>
  <c r="I10" i="22"/>
  <c r="I24" i="22"/>
  <c r="I23" i="22"/>
  <c r="I25" i="22"/>
  <c r="I44" i="10"/>
  <c r="F18" i="19"/>
  <c r="U118" i="9"/>
  <c r="K118" i="9"/>
  <c r="G18" i="19" s="1"/>
  <c r="K57" i="23"/>
  <c r="N57" i="23"/>
  <c r="K55" i="23"/>
  <c r="N55" i="23"/>
  <c r="F42" i="23"/>
  <c r="F44" i="23"/>
  <c r="F41" i="23"/>
  <c r="F43" i="23"/>
  <c r="F40" i="23"/>
  <c r="F54" i="23"/>
  <c r="O18" i="23"/>
  <c r="R18" i="23"/>
  <c r="R16" i="23"/>
  <c r="O16" i="23"/>
  <c r="K16" i="23"/>
  <c r="N17" i="23"/>
  <c r="K18" i="23"/>
  <c r="F142" i="17" l="1"/>
  <c r="V118" i="9"/>
  <c r="J18" i="19" s="1"/>
  <c r="Y118" i="9"/>
  <c r="I18" i="19"/>
  <c r="R57" i="23"/>
  <c r="O57" i="23"/>
  <c r="R55" i="23"/>
  <c r="O55" i="23"/>
  <c r="H54" i="23"/>
  <c r="J54" i="23"/>
  <c r="H41" i="23"/>
  <c r="J41" i="23"/>
  <c r="H40" i="23"/>
  <c r="J40" i="23"/>
  <c r="J42" i="23"/>
  <c r="H42" i="23"/>
  <c r="S16" i="23"/>
  <c r="V16" i="23"/>
  <c r="W16" i="23" s="1"/>
  <c r="V18" i="23"/>
  <c r="W18" i="23" s="1"/>
  <c r="S18" i="23"/>
  <c r="R17" i="23"/>
  <c r="O17" i="23"/>
  <c r="F14" i="23"/>
  <c r="F15" i="23"/>
  <c r="Z14" i="17"/>
  <c r="X14" i="17"/>
  <c r="W14" i="17"/>
  <c r="T14" i="17"/>
  <c r="S14" i="17"/>
  <c r="P14" i="17"/>
  <c r="O14" i="17"/>
  <c r="L14" i="17"/>
  <c r="K14" i="17"/>
  <c r="H14" i="17"/>
  <c r="AK15" i="9"/>
  <c r="Y14" i="17" s="1"/>
  <c r="Y15" i="9"/>
  <c r="M14" i="17" s="1"/>
  <c r="Z118" i="9" l="1"/>
  <c r="N18" i="19" s="1"/>
  <c r="AC118" i="9"/>
  <c r="M18" i="19"/>
  <c r="K54" i="23"/>
  <c r="N54" i="23"/>
  <c r="V55" i="23"/>
  <c r="W55" i="23" s="1"/>
  <c r="S55" i="23"/>
  <c r="S57" i="23"/>
  <c r="V57" i="23"/>
  <c r="W57" i="23" s="1"/>
  <c r="I14" i="17"/>
  <c r="K41" i="23"/>
  <c r="N41" i="23"/>
  <c r="N42" i="23"/>
  <c r="K42" i="23"/>
  <c r="K40" i="23"/>
  <c r="N40" i="23"/>
  <c r="V17" i="23"/>
  <c r="W17" i="23" s="1"/>
  <c r="S17" i="23"/>
  <c r="J14" i="23"/>
  <c r="H14" i="23"/>
  <c r="J15" i="23"/>
  <c r="H15" i="23"/>
  <c r="AC15" i="9"/>
  <c r="Q14" i="17" s="1"/>
  <c r="Z15" i="9"/>
  <c r="N14" i="17" s="1"/>
  <c r="V15" i="9"/>
  <c r="J14" i="17" s="1"/>
  <c r="AD118" i="9" l="1"/>
  <c r="R18" i="19" s="1"/>
  <c r="Q18" i="19"/>
  <c r="AG118" i="9"/>
  <c r="O54" i="23"/>
  <c r="R54" i="23"/>
  <c r="O41" i="23"/>
  <c r="R41" i="23"/>
  <c r="R40" i="23"/>
  <c r="O40" i="23"/>
  <c r="O42" i="23"/>
  <c r="R42" i="23"/>
  <c r="K15" i="23"/>
  <c r="N15" i="23"/>
  <c r="K14" i="23"/>
  <c r="N14" i="23"/>
  <c r="AG15" i="9"/>
  <c r="AD15" i="9"/>
  <c r="R14" i="17" s="1"/>
  <c r="AH118" i="9" l="1"/>
  <c r="V18" i="19" s="1"/>
  <c r="U18" i="19"/>
  <c r="S54" i="23"/>
  <c r="V54" i="23"/>
  <c r="W54" i="23" s="1"/>
  <c r="AH15" i="9"/>
  <c r="V14" i="17" s="1"/>
  <c r="U14" i="17"/>
  <c r="S42" i="23"/>
  <c r="V42" i="23"/>
  <c r="W42" i="23" s="1"/>
  <c r="V40" i="23"/>
  <c r="W40" i="23" s="1"/>
  <c r="S40" i="23"/>
  <c r="S41" i="23"/>
  <c r="V41" i="23"/>
  <c r="W41" i="23" s="1"/>
  <c r="O14" i="23"/>
  <c r="R14" i="23"/>
  <c r="R15" i="23"/>
  <c r="O15" i="23"/>
  <c r="J159" i="23"/>
  <c r="N159" i="23" s="1"/>
  <c r="H159" i="23"/>
  <c r="V14" i="23" l="1"/>
  <c r="W14" i="23" s="1"/>
  <c r="S14" i="23"/>
  <c r="V15" i="23"/>
  <c r="W15" i="23" s="1"/>
  <c r="S15" i="23"/>
  <c r="F12" i="23"/>
  <c r="F13" i="23"/>
  <c r="R159" i="23"/>
  <c r="O159" i="23"/>
  <c r="K159" i="23"/>
  <c r="I1" i="22"/>
  <c r="V159" i="23" l="1"/>
  <c r="W159" i="23" s="1"/>
  <c r="S159" i="23"/>
  <c r="J161" i="23"/>
  <c r="N161" i="23" s="1"/>
  <c r="H161" i="23"/>
  <c r="R161" i="23" l="1"/>
  <c r="O161" i="23"/>
  <c r="K161" i="23"/>
  <c r="V161" i="23" l="1"/>
  <c r="W161" i="23" s="1"/>
  <c r="S161" i="23"/>
  <c r="P8" i="10" l="1"/>
  <c r="O8" i="10"/>
  <c r="I8" i="10"/>
  <c r="I16" i="10"/>
  <c r="I26" i="10"/>
  <c r="I17" i="10"/>
  <c r="I25" i="10"/>
  <c r="I11" i="10"/>
  <c r="I28" i="10"/>
  <c r="I12" i="10"/>
  <c r="I15" i="10"/>
  <c r="I27" i="10"/>
  <c r="I14" i="10"/>
  <c r="I13" i="10"/>
  <c r="F36" i="23" l="1"/>
  <c r="F35" i="23"/>
  <c r="F27" i="23"/>
  <c r="F26" i="23"/>
  <c r="F25" i="23"/>
  <c r="F37" i="23"/>
  <c r="F38" i="23"/>
  <c r="F10" i="23"/>
  <c r="F11" i="23"/>
  <c r="F9" i="23"/>
  <c r="H35" i="23" l="1"/>
  <c r="J35" i="23"/>
  <c r="J13" i="23"/>
  <c r="H13" i="23"/>
  <c r="H12" i="23"/>
  <c r="J12" i="23"/>
  <c r="H38" i="23"/>
  <c r="J38" i="23"/>
  <c r="F10" i="10"/>
  <c r="F92" i="9" s="1"/>
  <c r="F11" i="10"/>
  <c r="F93" i="9" s="1"/>
  <c r="J36" i="23"/>
  <c r="N36" i="23" s="1"/>
  <c r="H36" i="23"/>
  <c r="F35" i="10"/>
  <c r="F102" i="9" s="1"/>
  <c r="F92" i="17" s="1"/>
  <c r="F13" i="10"/>
  <c r="F97" i="9" s="1"/>
  <c r="F14" i="10"/>
  <c r="F15" i="10"/>
  <c r="F16" i="10"/>
  <c r="F105" i="9" s="1"/>
  <c r="F95" i="17" s="1"/>
  <c r="F17" i="10"/>
  <c r="F106" i="9" s="1"/>
  <c r="F96" i="17" s="1"/>
  <c r="H158" i="23"/>
  <c r="J158" i="23"/>
  <c r="K158" i="23" s="1"/>
  <c r="H160" i="23"/>
  <c r="J160" i="23"/>
  <c r="N160" i="23" s="1"/>
  <c r="F36" i="10"/>
  <c r="F39" i="10"/>
  <c r="I7" i="15" s="1"/>
  <c r="P184" i="9" s="1"/>
  <c r="B102" i="9"/>
  <c r="B103" i="9"/>
  <c r="B104" i="9"/>
  <c r="B105" i="9"/>
  <c r="B106" i="9"/>
  <c r="B107" i="9"/>
  <c r="B108" i="9"/>
  <c r="B109" i="9"/>
  <c r="B110" i="9"/>
  <c r="B111" i="9"/>
  <c r="C102" i="9"/>
  <c r="D102" i="9"/>
  <c r="E102" i="9"/>
  <c r="AK102" i="9" s="1"/>
  <c r="Y92" i="17" s="1"/>
  <c r="D93" i="17"/>
  <c r="E93" i="17"/>
  <c r="E103" i="9"/>
  <c r="E104" i="9"/>
  <c r="E105" i="9"/>
  <c r="E106" i="9"/>
  <c r="D103" i="9"/>
  <c r="D104" i="9"/>
  <c r="D105" i="9"/>
  <c r="D106" i="9"/>
  <c r="C103" i="9"/>
  <c r="C104" i="9"/>
  <c r="C105" i="9"/>
  <c r="C106" i="9"/>
  <c r="F12" i="10"/>
  <c r="F99" i="9" s="1"/>
  <c r="E107" i="9"/>
  <c r="AK107" i="9" s="1"/>
  <c r="Y97" i="17" s="1"/>
  <c r="U107" i="9"/>
  <c r="Y107" i="9" s="1"/>
  <c r="E108" i="9"/>
  <c r="AK108" i="9" s="1"/>
  <c r="U108" i="9"/>
  <c r="E109" i="9"/>
  <c r="E110" i="9"/>
  <c r="E94" i="17"/>
  <c r="E95" i="17"/>
  <c r="E96" i="17"/>
  <c r="D94" i="17"/>
  <c r="D95" i="17"/>
  <c r="D96" i="17"/>
  <c r="C93" i="17"/>
  <c r="C94" i="17"/>
  <c r="C95" i="17"/>
  <c r="C96" i="17"/>
  <c r="E17" i="9"/>
  <c r="G17" i="9" s="1"/>
  <c r="E18" i="9"/>
  <c r="G18" i="9" s="1"/>
  <c r="G17" i="17" s="1"/>
  <c r="E19" i="9"/>
  <c r="G19" i="9" s="1"/>
  <c r="G18" i="17" s="1"/>
  <c r="E22" i="9"/>
  <c r="E54" i="9"/>
  <c r="E55" i="9"/>
  <c r="E58" i="9"/>
  <c r="G58" i="9" s="1"/>
  <c r="E59" i="9"/>
  <c r="AK59" i="9" s="1"/>
  <c r="Y58" i="17" s="1"/>
  <c r="E60" i="9"/>
  <c r="G60" i="9" s="1"/>
  <c r="G59" i="17" s="1"/>
  <c r="E61" i="9"/>
  <c r="G61" i="9" s="1"/>
  <c r="G60" i="17" s="1"/>
  <c r="E62" i="9"/>
  <c r="G62" i="9" s="1"/>
  <c r="G61" i="17" s="1"/>
  <c r="E63" i="9"/>
  <c r="G63" i="9" s="1"/>
  <c r="G62" i="17" s="1"/>
  <c r="E64" i="9"/>
  <c r="G64" i="9" s="1"/>
  <c r="G63" i="17" s="1"/>
  <c r="E66" i="9"/>
  <c r="G66" i="9" s="1"/>
  <c r="E67" i="9"/>
  <c r="G67" i="9" s="1"/>
  <c r="G66" i="17" s="1"/>
  <c r="E68" i="9"/>
  <c r="G68" i="9" s="1"/>
  <c r="G67" i="17" s="1"/>
  <c r="E69" i="9"/>
  <c r="G69" i="9" s="1"/>
  <c r="G68" i="17" s="1"/>
  <c r="E70" i="9"/>
  <c r="G70" i="9" s="1"/>
  <c r="G69" i="17" s="1"/>
  <c r="E71" i="9"/>
  <c r="G71" i="9" s="1"/>
  <c r="E72" i="9"/>
  <c r="O72" i="9" s="1"/>
  <c r="E73" i="9"/>
  <c r="O73" i="9" s="1"/>
  <c r="E75" i="9"/>
  <c r="G75" i="9" s="1"/>
  <c r="E76" i="9"/>
  <c r="G76" i="9" s="1"/>
  <c r="G73" i="17" s="1"/>
  <c r="E77" i="9"/>
  <c r="G77" i="9" s="1"/>
  <c r="G74" i="17" s="1"/>
  <c r="E78" i="9"/>
  <c r="G78" i="9" s="1"/>
  <c r="G75" i="17" s="1"/>
  <c r="E79" i="9"/>
  <c r="G79" i="9" s="1"/>
  <c r="G76" i="17" s="1"/>
  <c r="E80" i="9"/>
  <c r="G80" i="9" s="1"/>
  <c r="G77" i="17" s="1"/>
  <c r="E91" i="9"/>
  <c r="G91" i="9" s="1"/>
  <c r="E92" i="9"/>
  <c r="AK92" i="9" s="1"/>
  <c r="E93" i="9"/>
  <c r="AK93" i="9" s="1"/>
  <c r="Y83" i="17" s="1"/>
  <c r="E96" i="9"/>
  <c r="G96" i="9" s="1"/>
  <c r="G86" i="17" s="1"/>
  <c r="E97" i="9"/>
  <c r="AK97" i="9" s="1"/>
  <c r="Y87" i="17" s="1"/>
  <c r="E98" i="9"/>
  <c r="G98" i="9" s="1"/>
  <c r="G88" i="17" s="1"/>
  <c r="E99" i="9"/>
  <c r="AK99" i="9" s="1"/>
  <c r="Y89" i="17" s="1"/>
  <c r="E111" i="9"/>
  <c r="E125" i="9"/>
  <c r="G125" i="9" s="1"/>
  <c r="E126" i="9"/>
  <c r="G126" i="9" s="1"/>
  <c r="G107" i="17" s="1"/>
  <c r="E127" i="9"/>
  <c r="G127" i="9" s="1"/>
  <c r="G108" i="17" s="1"/>
  <c r="E128" i="9"/>
  <c r="G128" i="9" s="1"/>
  <c r="G109" i="17" s="1"/>
  <c r="E129" i="9"/>
  <c r="G129" i="9" s="1"/>
  <c r="G110" i="17" s="1"/>
  <c r="E130" i="9"/>
  <c r="G130" i="9" s="1"/>
  <c r="G111" i="17" s="1"/>
  <c r="E131" i="9"/>
  <c r="G131" i="9" s="1"/>
  <c r="G112" i="17" s="1"/>
  <c r="E132" i="9"/>
  <c r="G132" i="9" s="1"/>
  <c r="G113" i="17" s="1"/>
  <c r="E133" i="9"/>
  <c r="G133" i="9" s="1"/>
  <c r="G114" i="17" s="1"/>
  <c r="E134" i="9"/>
  <c r="G134" i="9" s="1"/>
  <c r="G115" i="17" s="1"/>
  <c r="E135" i="9"/>
  <c r="G135" i="9" s="1"/>
  <c r="G116" i="17" s="1"/>
  <c r="E136" i="9"/>
  <c r="G136" i="9" s="1"/>
  <c r="G117" i="17" s="1"/>
  <c r="E137" i="9"/>
  <c r="G137" i="9" s="1"/>
  <c r="G118" i="17" s="1"/>
  <c r="E138" i="9"/>
  <c r="G138" i="9" s="1"/>
  <c r="G119" i="17" s="1"/>
  <c r="E139" i="9"/>
  <c r="G139" i="9" s="1"/>
  <c r="G120" i="17" s="1"/>
  <c r="E140" i="9"/>
  <c r="G140" i="9" s="1"/>
  <c r="G121" i="17" s="1"/>
  <c r="E141" i="9"/>
  <c r="G141" i="9" s="1"/>
  <c r="G122" i="17" s="1"/>
  <c r="E142" i="9"/>
  <c r="G142" i="9" s="1"/>
  <c r="G123" i="17" s="1"/>
  <c r="E143" i="9"/>
  <c r="G143" i="9" s="1"/>
  <c r="G124" i="17" s="1"/>
  <c r="E144" i="9"/>
  <c r="G144" i="9" s="1"/>
  <c r="E161" i="9"/>
  <c r="E164" i="9"/>
  <c r="E165" i="9"/>
  <c r="E166" i="9"/>
  <c r="E167" i="9"/>
  <c r="E182" i="9"/>
  <c r="E231" i="9"/>
  <c r="G231" i="9" s="1"/>
  <c r="G184" i="17" s="1"/>
  <c r="E232" i="9"/>
  <c r="G232" i="9" s="1"/>
  <c r="E233" i="9"/>
  <c r="G233" i="9" s="1"/>
  <c r="E235" i="9"/>
  <c r="G235" i="9" s="1"/>
  <c r="E236" i="9"/>
  <c r="G236" i="9" s="1"/>
  <c r="G189" i="17" s="1"/>
  <c r="E237" i="9"/>
  <c r="G237" i="9" s="1"/>
  <c r="G190" i="17" s="1"/>
  <c r="E238" i="9"/>
  <c r="G238" i="9" s="1"/>
  <c r="E239" i="9"/>
  <c r="G239" i="9" s="1"/>
  <c r="G15" i="9"/>
  <c r="G14" i="9" s="1"/>
  <c r="E192" i="9"/>
  <c r="I192" i="9" s="1"/>
  <c r="E193" i="9"/>
  <c r="I193" i="9" s="1"/>
  <c r="G28" i="18" s="1"/>
  <c r="E194" i="9"/>
  <c r="I194" i="9" s="1"/>
  <c r="G29" i="18" s="1"/>
  <c r="E195" i="9"/>
  <c r="I195" i="9" s="1"/>
  <c r="I15" i="9"/>
  <c r="I14" i="9" s="1"/>
  <c r="E116" i="9"/>
  <c r="K116" i="9" s="1"/>
  <c r="K15" i="9"/>
  <c r="K14" i="9" s="1"/>
  <c r="E82" i="9"/>
  <c r="M82" i="9" s="1"/>
  <c r="G16" i="20" s="1"/>
  <c r="E84" i="9"/>
  <c r="M84" i="9" s="1"/>
  <c r="G17" i="20" s="1"/>
  <c r="E85" i="9"/>
  <c r="E86" i="9"/>
  <c r="F19" i="20"/>
  <c r="E87" i="9"/>
  <c r="AK87" i="9" s="1"/>
  <c r="Y20" i="20" s="1"/>
  <c r="E88" i="9"/>
  <c r="M88" i="9" s="1"/>
  <c r="G21" i="20" s="1"/>
  <c r="E89" i="9"/>
  <c r="M89" i="9" s="1"/>
  <c r="G22" i="20" s="1"/>
  <c r="M15" i="9"/>
  <c r="M14" i="9" s="1"/>
  <c r="E175" i="9"/>
  <c r="O175" i="9" s="1"/>
  <c r="E176" i="9"/>
  <c r="E177" i="9"/>
  <c r="S177" i="9" s="1"/>
  <c r="E178" i="9"/>
  <c r="S178" i="9" s="1"/>
  <c r="E179" i="9"/>
  <c r="O179" i="9" s="1"/>
  <c r="G34" i="21" s="1"/>
  <c r="E162" i="9"/>
  <c r="E163" i="9"/>
  <c r="O15" i="9"/>
  <c r="E170" i="9"/>
  <c r="O170" i="9" s="1"/>
  <c r="O169" i="9" s="1"/>
  <c r="E171" i="9"/>
  <c r="S171" i="9" s="1"/>
  <c r="E172" i="9"/>
  <c r="S172" i="9" s="1"/>
  <c r="G18" i="24" s="1"/>
  <c r="E173" i="9"/>
  <c r="S173" i="9" s="1"/>
  <c r="G19" i="24" s="1"/>
  <c r="S15" i="9"/>
  <c r="E181" i="9"/>
  <c r="AK181" i="9" s="1"/>
  <c r="F40" i="10"/>
  <c r="J7" i="15" s="1"/>
  <c r="E183" i="9"/>
  <c r="AK183" i="9" s="1"/>
  <c r="Y18" i="27" s="1"/>
  <c r="E184" i="9"/>
  <c r="AK184" i="9" s="1"/>
  <c r="Y19" i="27" s="1"/>
  <c r="E185" i="9"/>
  <c r="AK185" i="9" s="1"/>
  <c r="Y20" i="27" s="1"/>
  <c r="F41" i="10"/>
  <c r="K7" i="15" s="1"/>
  <c r="P185" i="9" s="1"/>
  <c r="E186" i="9"/>
  <c r="Q186" i="9" s="1"/>
  <c r="G21" i="27" s="1"/>
  <c r="E187" i="9"/>
  <c r="AK187" i="9" s="1"/>
  <c r="Y22" i="27" s="1"/>
  <c r="F44" i="10"/>
  <c r="K19" i="15" s="1"/>
  <c r="P187" i="9" s="1"/>
  <c r="E188" i="9"/>
  <c r="AK188" i="9" s="1"/>
  <c r="Y23" i="27" s="1"/>
  <c r="F43" i="10"/>
  <c r="J19" i="15" s="1"/>
  <c r="E189" i="9"/>
  <c r="AK189" i="9" s="1"/>
  <c r="Y24" i="27" s="1"/>
  <c r="F42" i="10"/>
  <c r="I19" i="15" s="1"/>
  <c r="P189" i="9" s="1"/>
  <c r="E190" i="9"/>
  <c r="Q190" i="9" s="1"/>
  <c r="G25" i="27" s="1"/>
  <c r="E191" i="9"/>
  <c r="Q191" i="9" s="1"/>
  <c r="G26" i="27" s="1"/>
  <c r="Q15" i="9"/>
  <c r="G151" i="23"/>
  <c r="F31" i="10"/>
  <c r="F32" i="10"/>
  <c r="H9" i="23"/>
  <c r="H10" i="23"/>
  <c r="H11" i="23"/>
  <c r="H25" i="23"/>
  <c r="H26" i="23"/>
  <c r="H27" i="23"/>
  <c r="H37" i="23"/>
  <c r="H43" i="23"/>
  <c r="H44" i="23"/>
  <c r="H45" i="23"/>
  <c r="H46" i="23"/>
  <c r="H47" i="23"/>
  <c r="H48" i="23"/>
  <c r="H49" i="23"/>
  <c r="H58" i="23"/>
  <c r="H59" i="23"/>
  <c r="H60" i="23"/>
  <c r="H61" i="23"/>
  <c r="H67" i="23"/>
  <c r="H68" i="23"/>
  <c r="H69" i="23"/>
  <c r="H83" i="23"/>
  <c r="H84" i="23"/>
  <c r="H85" i="23"/>
  <c r="H86" i="23"/>
  <c r="H87" i="23"/>
  <c r="H88" i="23"/>
  <c r="H89" i="23"/>
  <c r="H91" i="23"/>
  <c r="H92" i="23"/>
  <c r="H93" i="23"/>
  <c r="H94" i="23"/>
  <c r="H95" i="23"/>
  <c r="H96" i="23"/>
  <c r="H134" i="23"/>
  <c r="H135" i="23"/>
  <c r="H136" i="23"/>
  <c r="H137" i="23"/>
  <c r="H139" i="23"/>
  <c r="H140" i="23"/>
  <c r="H148" i="23"/>
  <c r="H149" i="23"/>
  <c r="H150" i="23"/>
  <c r="H153" i="23"/>
  <c r="H154" i="23"/>
  <c r="H155" i="23"/>
  <c r="H156" i="23"/>
  <c r="H157" i="23"/>
  <c r="H162" i="23"/>
  <c r="H163" i="23"/>
  <c r="H164" i="23"/>
  <c r="H166" i="23"/>
  <c r="H167" i="23"/>
  <c r="H168" i="23"/>
  <c r="H169" i="23"/>
  <c r="H171" i="23"/>
  <c r="H173" i="23"/>
  <c r="H175" i="23"/>
  <c r="H176" i="23"/>
  <c r="H177" i="23"/>
  <c r="H204" i="23"/>
  <c r="H205" i="23"/>
  <c r="H206" i="23"/>
  <c r="H207" i="23"/>
  <c r="H253" i="23"/>
  <c r="H254" i="23"/>
  <c r="H255" i="23"/>
  <c r="H256" i="23"/>
  <c r="H274" i="23"/>
  <c r="T10" i="22"/>
  <c r="I21" i="17"/>
  <c r="I53" i="17"/>
  <c r="I54" i="17"/>
  <c r="F57" i="17"/>
  <c r="H57" i="17"/>
  <c r="U58" i="9"/>
  <c r="K57" i="17"/>
  <c r="L57" i="17"/>
  <c r="O57" i="17"/>
  <c r="P57" i="17"/>
  <c r="S57" i="17"/>
  <c r="T57" i="17"/>
  <c r="W57" i="17"/>
  <c r="X57" i="17"/>
  <c r="Z57" i="17"/>
  <c r="F58" i="17"/>
  <c r="H58" i="17"/>
  <c r="U59" i="9"/>
  <c r="K58" i="17"/>
  <c r="L58" i="17"/>
  <c r="O58" i="17"/>
  <c r="P58" i="17"/>
  <c r="S58" i="17"/>
  <c r="T58" i="17"/>
  <c r="W58" i="17"/>
  <c r="X58" i="17"/>
  <c r="Z58" i="17"/>
  <c r="F59" i="17"/>
  <c r="H59" i="17"/>
  <c r="U60" i="9"/>
  <c r="K59" i="17"/>
  <c r="L59" i="17"/>
  <c r="O59" i="17"/>
  <c r="P59" i="17"/>
  <c r="S59" i="17"/>
  <c r="T59" i="17"/>
  <c r="W59" i="17"/>
  <c r="X59" i="17"/>
  <c r="Z59" i="17"/>
  <c r="F60" i="17"/>
  <c r="H60" i="17"/>
  <c r="U61" i="9"/>
  <c r="Y61" i="9" s="1"/>
  <c r="K60" i="17"/>
  <c r="L60" i="17"/>
  <c r="O60" i="17"/>
  <c r="P60" i="17"/>
  <c r="S60" i="17"/>
  <c r="T60" i="17"/>
  <c r="W60" i="17"/>
  <c r="X60" i="17"/>
  <c r="Z60" i="17"/>
  <c r="F61" i="17"/>
  <c r="H61" i="17"/>
  <c r="U62" i="9"/>
  <c r="Y62" i="9" s="1"/>
  <c r="K61" i="17"/>
  <c r="L61" i="17"/>
  <c r="O61" i="17"/>
  <c r="P61" i="17"/>
  <c r="S61" i="17"/>
  <c r="T61" i="17"/>
  <c r="W61" i="17"/>
  <c r="X61" i="17"/>
  <c r="Z61" i="17"/>
  <c r="F62" i="17"/>
  <c r="H62" i="17"/>
  <c r="U63" i="9"/>
  <c r="I62" i="17" s="1"/>
  <c r="K62" i="17"/>
  <c r="L62" i="17"/>
  <c r="O62" i="17"/>
  <c r="P62" i="17"/>
  <c r="S62" i="17"/>
  <c r="T62" i="17"/>
  <c r="W62" i="17"/>
  <c r="X62" i="17"/>
  <c r="Z62" i="17"/>
  <c r="F63" i="17"/>
  <c r="H63" i="17"/>
  <c r="U64" i="9"/>
  <c r="K63" i="17"/>
  <c r="L63" i="17"/>
  <c r="O63" i="17"/>
  <c r="P63" i="17"/>
  <c r="S63" i="17"/>
  <c r="T63" i="17"/>
  <c r="W63" i="17"/>
  <c r="X63" i="17"/>
  <c r="Z63" i="17"/>
  <c r="C19" i="9"/>
  <c r="D19" i="9"/>
  <c r="C22" i="9"/>
  <c r="D22" i="9"/>
  <c r="C54" i="9"/>
  <c r="D54" i="9"/>
  <c r="C55" i="9"/>
  <c r="D55" i="9"/>
  <c r="C58" i="9"/>
  <c r="D58" i="9"/>
  <c r="C59" i="9"/>
  <c r="D59" i="9"/>
  <c r="C60" i="9"/>
  <c r="D60" i="9"/>
  <c r="C61" i="9"/>
  <c r="D61" i="9"/>
  <c r="C62" i="9"/>
  <c r="D62" i="9"/>
  <c r="C63" i="9"/>
  <c r="D63" i="9"/>
  <c r="C64" i="9"/>
  <c r="D64" i="9"/>
  <c r="B54" i="9"/>
  <c r="B55" i="9"/>
  <c r="B58" i="9"/>
  <c r="B59" i="9"/>
  <c r="B60" i="9"/>
  <c r="B61" i="9"/>
  <c r="B62" i="9"/>
  <c r="B63" i="9"/>
  <c r="B64" i="9"/>
  <c r="C30" i="17"/>
  <c r="D30" i="17"/>
  <c r="E30" i="17"/>
  <c r="C35" i="17"/>
  <c r="D35" i="17"/>
  <c r="E35" i="17"/>
  <c r="C36" i="17"/>
  <c r="D36" i="17"/>
  <c r="E36" i="17"/>
  <c r="C49" i="17"/>
  <c r="D49" i="17"/>
  <c r="E49" i="17"/>
  <c r="C50" i="17"/>
  <c r="D50" i="17"/>
  <c r="E50" i="17"/>
  <c r="C51" i="17"/>
  <c r="D51" i="17"/>
  <c r="E51" i="17"/>
  <c r="C52" i="17"/>
  <c r="D52" i="17"/>
  <c r="E52" i="17"/>
  <c r="B30" i="17"/>
  <c r="B35" i="17"/>
  <c r="B36" i="17"/>
  <c r="B49" i="17"/>
  <c r="B50" i="17"/>
  <c r="B51" i="17"/>
  <c r="B52" i="17"/>
  <c r="B53" i="17"/>
  <c r="B54" i="17"/>
  <c r="B57" i="17"/>
  <c r="B58" i="17"/>
  <c r="B59" i="17"/>
  <c r="B60" i="17"/>
  <c r="B61" i="17"/>
  <c r="B62" i="17"/>
  <c r="T14" i="22"/>
  <c r="T12" i="22"/>
  <c r="T8" i="22"/>
  <c r="T6" i="22"/>
  <c r="T4" i="22"/>
  <c r="T2" i="22"/>
  <c r="J91" i="23"/>
  <c r="K91" i="23" s="1"/>
  <c r="J92" i="23"/>
  <c r="N92" i="23" s="1"/>
  <c r="J93" i="23"/>
  <c r="K93" i="23" s="1"/>
  <c r="J94" i="23"/>
  <c r="K94" i="23" s="1"/>
  <c r="J95" i="23"/>
  <c r="N95" i="23" s="1"/>
  <c r="J96" i="23"/>
  <c r="K96" i="23" s="1"/>
  <c r="J60" i="23"/>
  <c r="K60" i="23" s="1"/>
  <c r="J61" i="23"/>
  <c r="K61" i="23" s="1"/>
  <c r="J67" i="23"/>
  <c r="N67" i="23" s="1"/>
  <c r="E83" i="17"/>
  <c r="C100" i="17"/>
  <c r="D100" i="17"/>
  <c r="E100" i="17"/>
  <c r="F100" i="17"/>
  <c r="H100" i="17"/>
  <c r="I100" i="17"/>
  <c r="K100" i="17"/>
  <c r="L100" i="17"/>
  <c r="M100" i="17"/>
  <c r="O100" i="17"/>
  <c r="P100" i="17"/>
  <c r="Q100" i="17"/>
  <c r="S100" i="17"/>
  <c r="T100" i="17"/>
  <c r="U100" i="17"/>
  <c r="W100" i="17"/>
  <c r="X100" i="17"/>
  <c r="Z100" i="17"/>
  <c r="B82" i="17"/>
  <c r="C82" i="17"/>
  <c r="D82" i="17"/>
  <c r="E82" i="17"/>
  <c r="H82" i="17"/>
  <c r="K82" i="17"/>
  <c r="L82" i="17"/>
  <c r="O82" i="17"/>
  <c r="P82" i="17"/>
  <c r="S82" i="17"/>
  <c r="T82" i="17"/>
  <c r="W82" i="17"/>
  <c r="X82" i="17"/>
  <c r="Y82" i="17"/>
  <c r="Z82" i="17"/>
  <c r="C110" i="9"/>
  <c r="D110" i="9"/>
  <c r="C92" i="9"/>
  <c r="D92" i="9"/>
  <c r="B92" i="9"/>
  <c r="C191" i="9"/>
  <c r="L10" i="22"/>
  <c r="L9" i="22"/>
  <c r="F21" i="27"/>
  <c r="F25" i="27"/>
  <c r="F26" i="27"/>
  <c r="H16" i="27"/>
  <c r="K16" i="27"/>
  <c r="L16" i="27"/>
  <c r="O16" i="27"/>
  <c r="P16" i="27"/>
  <c r="S16" i="27"/>
  <c r="T16" i="27"/>
  <c r="W16" i="27"/>
  <c r="X16" i="27"/>
  <c r="Z16" i="27"/>
  <c r="H18" i="27"/>
  <c r="K18" i="27"/>
  <c r="L18" i="27"/>
  <c r="O18" i="27"/>
  <c r="P18" i="27"/>
  <c r="S18" i="27"/>
  <c r="T18" i="27"/>
  <c r="W18" i="27"/>
  <c r="X18" i="27"/>
  <c r="Z18" i="27"/>
  <c r="H19" i="27"/>
  <c r="K19" i="27"/>
  <c r="L19" i="27"/>
  <c r="O19" i="27"/>
  <c r="P19" i="27"/>
  <c r="S19" i="27"/>
  <c r="T19" i="27"/>
  <c r="W19" i="27"/>
  <c r="X19" i="27"/>
  <c r="Z19" i="27"/>
  <c r="H20" i="27"/>
  <c r="K20" i="27"/>
  <c r="L20" i="27"/>
  <c r="O20" i="27"/>
  <c r="P20" i="27"/>
  <c r="S20" i="27"/>
  <c r="T20" i="27"/>
  <c r="W20" i="27"/>
  <c r="X20" i="27"/>
  <c r="Z20" i="27"/>
  <c r="H21" i="27"/>
  <c r="K21" i="27"/>
  <c r="L21" i="27"/>
  <c r="O21" i="27"/>
  <c r="P21" i="27"/>
  <c r="S21" i="27"/>
  <c r="T21" i="27"/>
  <c r="W21" i="27"/>
  <c r="X21" i="27"/>
  <c r="Z21" i="27"/>
  <c r="H22" i="27"/>
  <c r="K22" i="27"/>
  <c r="L22" i="27"/>
  <c r="O22" i="27"/>
  <c r="P22" i="27"/>
  <c r="S22" i="27"/>
  <c r="T22" i="27"/>
  <c r="W22" i="27"/>
  <c r="X22" i="27"/>
  <c r="Z22" i="27"/>
  <c r="H23" i="27"/>
  <c r="K23" i="27"/>
  <c r="L23" i="27"/>
  <c r="O23" i="27"/>
  <c r="P23" i="27"/>
  <c r="S23" i="27"/>
  <c r="T23" i="27"/>
  <c r="W23" i="27"/>
  <c r="X23" i="27"/>
  <c r="Z23" i="27"/>
  <c r="H24" i="27"/>
  <c r="K24" i="27"/>
  <c r="L24" i="27"/>
  <c r="O24" i="27"/>
  <c r="P24" i="27"/>
  <c r="S24" i="27"/>
  <c r="T24" i="27"/>
  <c r="W24" i="27"/>
  <c r="X24" i="27"/>
  <c r="Z24" i="27"/>
  <c r="H25" i="27"/>
  <c r="K25" i="27"/>
  <c r="L25" i="27"/>
  <c r="O25" i="27"/>
  <c r="P25" i="27"/>
  <c r="S25" i="27"/>
  <c r="T25" i="27"/>
  <c r="W25" i="27"/>
  <c r="X25" i="27"/>
  <c r="Z25" i="27"/>
  <c r="H26" i="27"/>
  <c r="K26" i="27"/>
  <c r="L26" i="27"/>
  <c r="O26" i="27"/>
  <c r="P26" i="27"/>
  <c r="S26" i="27"/>
  <c r="T26" i="27"/>
  <c r="W26" i="27"/>
  <c r="X26" i="27"/>
  <c r="Z26" i="27"/>
  <c r="E30" i="27"/>
  <c r="D30" i="27"/>
  <c r="C30" i="27"/>
  <c r="B30" i="27"/>
  <c r="E29" i="27"/>
  <c r="D29" i="27"/>
  <c r="C29" i="27"/>
  <c r="B29" i="27"/>
  <c r="E28" i="27"/>
  <c r="D28" i="27"/>
  <c r="C28" i="27"/>
  <c r="B28" i="27"/>
  <c r="E27" i="27"/>
  <c r="D27" i="27"/>
  <c r="C27" i="27"/>
  <c r="B27" i="27"/>
  <c r="E26" i="27"/>
  <c r="D26" i="27"/>
  <c r="C26" i="27"/>
  <c r="B26" i="27"/>
  <c r="E25" i="27"/>
  <c r="D25" i="27"/>
  <c r="C25" i="27"/>
  <c r="B25" i="27"/>
  <c r="E24" i="27"/>
  <c r="D24" i="27"/>
  <c r="C24" i="27"/>
  <c r="B24" i="27"/>
  <c r="E23" i="27"/>
  <c r="D23" i="27"/>
  <c r="C23" i="27"/>
  <c r="B23" i="27"/>
  <c r="E22" i="27"/>
  <c r="D22" i="27"/>
  <c r="C22" i="27"/>
  <c r="B22" i="27"/>
  <c r="E21" i="27"/>
  <c r="D21" i="27"/>
  <c r="C21" i="27"/>
  <c r="B21" i="27"/>
  <c r="E20" i="27"/>
  <c r="D20" i="27"/>
  <c r="C20" i="27"/>
  <c r="B20" i="27"/>
  <c r="E19" i="27"/>
  <c r="D19" i="27"/>
  <c r="C19" i="27"/>
  <c r="B19" i="27"/>
  <c r="E18" i="27"/>
  <c r="D18" i="27"/>
  <c r="C18" i="27"/>
  <c r="B18" i="27"/>
  <c r="E17" i="27"/>
  <c r="D17" i="27"/>
  <c r="C17" i="27"/>
  <c r="B17" i="27"/>
  <c r="E16" i="27"/>
  <c r="D16" i="27"/>
  <c r="C16" i="27"/>
  <c r="B16" i="27"/>
  <c r="C15" i="27"/>
  <c r="B15" i="27"/>
  <c r="E14" i="27"/>
  <c r="D14" i="27"/>
  <c r="C14" i="27"/>
  <c r="B14" i="27"/>
  <c r="C13" i="27"/>
  <c r="B13" i="27"/>
  <c r="C17" i="24"/>
  <c r="S17" i="24"/>
  <c r="E14" i="24"/>
  <c r="C16" i="24"/>
  <c r="C18" i="24"/>
  <c r="B17" i="24"/>
  <c r="D17" i="24"/>
  <c r="E17" i="24"/>
  <c r="B18" i="24"/>
  <c r="D18" i="24"/>
  <c r="E18" i="24"/>
  <c r="B19" i="24"/>
  <c r="C19" i="24"/>
  <c r="D19" i="24"/>
  <c r="E19" i="24"/>
  <c r="E16" i="24"/>
  <c r="D16" i="24"/>
  <c r="B16" i="24"/>
  <c r="C15" i="24"/>
  <c r="B15" i="24"/>
  <c r="D14" i="24"/>
  <c r="C14" i="24"/>
  <c r="B14" i="24"/>
  <c r="C13" i="24"/>
  <c r="B13" i="24"/>
  <c r="B31" i="21"/>
  <c r="C31" i="21"/>
  <c r="D31" i="21"/>
  <c r="E31" i="21"/>
  <c r="B32" i="21"/>
  <c r="C32" i="21"/>
  <c r="D32" i="21"/>
  <c r="E32" i="21"/>
  <c r="B33" i="21"/>
  <c r="C33" i="21"/>
  <c r="D33" i="21"/>
  <c r="E33" i="21"/>
  <c r="B34" i="21"/>
  <c r="C34" i="21"/>
  <c r="D34" i="21"/>
  <c r="E34" i="21"/>
  <c r="E30" i="21"/>
  <c r="D30" i="21"/>
  <c r="C30" i="21"/>
  <c r="B30" i="21"/>
  <c r="C29" i="21"/>
  <c r="B29" i="21"/>
  <c r="B20" i="21"/>
  <c r="C20" i="21"/>
  <c r="D20" i="21"/>
  <c r="E20" i="21"/>
  <c r="B21" i="21"/>
  <c r="C21" i="21"/>
  <c r="D21" i="21"/>
  <c r="E21" i="21"/>
  <c r="B22" i="21"/>
  <c r="C22" i="21"/>
  <c r="D22" i="21"/>
  <c r="E22" i="21"/>
  <c r="B23" i="21"/>
  <c r="C23" i="21"/>
  <c r="D23" i="21"/>
  <c r="E23" i="21"/>
  <c r="B24" i="21"/>
  <c r="C24" i="21"/>
  <c r="D24" i="21"/>
  <c r="E24" i="21"/>
  <c r="B25" i="21"/>
  <c r="C25" i="21"/>
  <c r="D25" i="21"/>
  <c r="E25" i="21"/>
  <c r="E19" i="21"/>
  <c r="D19" i="21"/>
  <c r="C19" i="21"/>
  <c r="B19" i="21"/>
  <c r="C18" i="21"/>
  <c r="B18" i="21"/>
  <c r="E14" i="21"/>
  <c r="D14" i="21"/>
  <c r="C14" i="21"/>
  <c r="B14" i="21"/>
  <c r="C13" i="21"/>
  <c r="B13" i="21"/>
  <c r="B18" i="20"/>
  <c r="C18" i="20"/>
  <c r="D18" i="20"/>
  <c r="B19" i="20"/>
  <c r="C19" i="20"/>
  <c r="D19" i="20"/>
  <c r="E19" i="20"/>
  <c r="B20" i="20"/>
  <c r="C20" i="20"/>
  <c r="D20" i="20"/>
  <c r="E20" i="20"/>
  <c r="B21" i="20"/>
  <c r="C21" i="20"/>
  <c r="D21" i="20"/>
  <c r="E21" i="20"/>
  <c r="B22" i="20"/>
  <c r="C22" i="20"/>
  <c r="D22" i="20"/>
  <c r="E22" i="20"/>
  <c r="E16" i="20"/>
  <c r="D16" i="20"/>
  <c r="C16" i="20"/>
  <c r="B16" i="20"/>
  <c r="C15" i="20"/>
  <c r="B15" i="20"/>
  <c r="E14" i="20"/>
  <c r="D14" i="20"/>
  <c r="C14" i="20"/>
  <c r="B14" i="20"/>
  <c r="C13" i="20"/>
  <c r="B13" i="20"/>
  <c r="E16" i="19"/>
  <c r="D16" i="19"/>
  <c r="C16" i="19"/>
  <c r="B16" i="19"/>
  <c r="C15" i="19"/>
  <c r="B15" i="19"/>
  <c r="E14" i="19"/>
  <c r="D14" i="19"/>
  <c r="C14" i="19"/>
  <c r="B14" i="19"/>
  <c r="C13" i="19"/>
  <c r="B13" i="19"/>
  <c r="B17" i="18"/>
  <c r="C17" i="18"/>
  <c r="D17" i="18"/>
  <c r="E17" i="18"/>
  <c r="B18" i="18"/>
  <c r="C18" i="18"/>
  <c r="D18" i="18"/>
  <c r="E18" i="18"/>
  <c r="B19" i="18"/>
  <c r="C19" i="18"/>
  <c r="D19" i="18"/>
  <c r="E19" i="18"/>
  <c r="B20" i="18"/>
  <c r="C20" i="18"/>
  <c r="D20" i="18"/>
  <c r="E20" i="18"/>
  <c r="B21" i="18"/>
  <c r="C21" i="18"/>
  <c r="D21" i="18"/>
  <c r="E21" i="18"/>
  <c r="B22" i="18"/>
  <c r="C22" i="18"/>
  <c r="D22" i="18"/>
  <c r="E22" i="18"/>
  <c r="B23" i="18"/>
  <c r="C23" i="18"/>
  <c r="D23" i="18"/>
  <c r="E23" i="18"/>
  <c r="B24" i="18"/>
  <c r="C24" i="18"/>
  <c r="D24" i="18"/>
  <c r="E24" i="18"/>
  <c r="B25" i="18"/>
  <c r="C25" i="18"/>
  <c r="D25" i="18"/>
  <c r="E25" i="18"/>
  <c r="B26" i="18"/>
  <c r="C26" i="18"/>
  <c r="D26" i="18"/>
  <c r="E26" i="18"/>
  <c r="B27" i="18"/>
  <c r="C27" i="18"/>
  <c r="D27" i="18"/>
  <c r="E27" i="18"/>
  <c r="B28" i="18"/>
  <c r="C28" i="18"/>
  <c r="D28" i="18"/>
  <c r="E28" i="18"/>
  <c r="B29" i="18"/>
  <c r="C29" i="18"/>
  <c r="D29" i="18"/>
  <c r="E29" i="18"/>
  <c r="B30" i="18"/>
  <c r="C30" i="18"/>
  <c r="D30" i="18"/>
  <c r="E30" i="18"/>
  <c r="E16" i="18"/>
  <c r="D16" i="18"/>
  <c r="C16" i="18"/>
  <c r="B16" i="18"/>
  <c r="C15" i="18"/>
  <c r="B15" i="18"/>
  <c r="E14" i="18"/>
  <c r="G14" i="18" s="1"/>
  <c r="D14" i="18"/>
  <c r="C14" i="18"/>
  <c r="B14" i="18"/>
  <c r="C13" i="18"/>
  <c r="B13" i="18"/>
  <c r="B15" i="17"/>
  <c r="C15" i="17"/>
  <c r="B16" i="17"/>
  <c r="C16" i="17"/>
  <c r="D16" i="17"/>
  <c r="E16" i="17"/>
  <c r="B17" i="17"/>
  <c r="C17" i="17"/>
  <c r="D17" i="17"/>
  <c r="E17" i="17"/>
  <c r="B18" i="17"/>
  <c r="C18" i="17"/>
  <c r="D18" i="17"/>
  <c r="E18" i="17"/>
  <c r="C53" i="17"/>
  <c r="D53" i="17"/>
  <c r="E53" i="17"/>
  <c r="C54" i="17"/>
  <c r="D54" i="17"/>
  <c r="E54" i="17"/>
  <c r="C57" i="17"/>
  <c r="D57" i="17"/>
  <c r="E57" i="17"/>
  <c r="C58" i="17"/>
  <c r="D58" i="17"/>
  <c r="E58" i="17"/>
  <c r="C59" i="17"/>
  <c r="D59" i="17"/>
  <c r="E59" i="17"/>
  <c r="C60" i="17"/>
  <c r="D60" i="17"/>
  <c r="E60" i="17"/>
  <c r="C61" i="17"/>
  <c r="D61" i="17"/>
  <c r="E61" i="17"/>
  <c r="C62" i="17"/>
  <c r="D62" i="17"/>
  <c r="E62" i="17"/>
  <c r="B63" i="17"/>
  <c r="C63" i="17"/>
  <c r="D63" i="17"/>
  <c r="E63" i="17"/>
  <c r="B64" i="17"/>
  <c r="C64" i="17"/>
  <c r="B65" i="17"/>
  <c r="C65" i="17"/>
  <c r="D65" i="17"/>
  <c r="E65" i="17"/>
  <c r="B66" i="17"/>
  <c r="C66" i="17"/>
  <c r="D66" i="17"/>
  <c r="E66" i="17"/>
  <c r="B67" i="17"/>
  <c r="C67" i="17"/>
  <c r="D67" i="17"/>
  <c r="E67" i="17"/>
  <c r="B68" i="17"/>
  <c r="C68" i="17"/>
  <c r="D68" i="17"/>
  <c r="E68" i="17"/>
  <c r="B69" i="17"/>
  <c r="C69" i="17"/>
  <c r="D69" i="17"/>
  <c r="E69" i="17"/>
  <c r="B70" i="17"/>
  <c r="C70" i="17"/>
  <c r="D70" i="17"/>
  <c r="E70" i="17"/>
  <c r="B71" i="17"/>
  <c r="C71" i="17"/>
  <c r="B72" i="17"/>
  <c r="C72" i="17"/>
  <c r="D72" i="17"/>
  <c r="E72" i="17"/>
  <c r="B73" i="17"/>
  <c r="C73" i="17"/>
  <c r="D73" i="17"/>
  <c r="E73" i="17"/>
  <c r="B74" i="17"/>
  <c r="C74" i="17"/>
  <c r="D74" i="17"/>
  <c r="E74" i="17"/>
  <c r="B75" i="17"/>
  <c r="C75" i="17"/>
  <c r="D75" i="17"/>
  <c r="E75" i="17"/>
  <c r="B76" i="17"/>
  <c r="C76" i="17"/>
  <c r="D76" i="17"/>
  <c r="E76" i="17"/>
  <c r="B77" i="17"/>
  <c r="C77" i="17"/>
  <c r="D77" i="17"/>
  <c r="E77" i="17"/>
  <c r="B80" i="17"/>
  <c r="C80" i="17"/>
  <c r="B81" i="17"/>
  <c r="C81" i="17"/>
  <c r="D81" i="17"/>
  <c r="E81" i="17"/>
  <c r="B83" i="17"/>
  <c r="C83" i="17"/>
  <c r="D83" i="17"/>
  <c r="B86" i="17"/>
  <c r="C86" i="17"/>
  <c r="D86" i="17"/>
  <c r="E86" i="17"/>
  <c r="B87" i="17"/>
  <c r="C87" i="17"/>
  <c r="D87" i="17"/>
  <c r="E87" i="17"/>
  <c r="B88" i="17"/>
  <c r="C88" i="17"/>
  <c r="D88" i="17"/>
  <c r="E88" i="17"/>
  <c r="B89" i="17"/>
  <c r="C89" i="17"/>
  <c r="D89" i="17"/>
  <c r="E89" i="17"/>
  <c r="C97" i="17"/>
  <c r="D97" i="17"/>
  <c r="E97" i="17"/>
  <c r="C98" i="17"/>
  <c r="D98" i="17"/>
  <c r="E98" i="17"/>
  <c r="C99" i="17"/>
  <c r="D99" i="17"/>
  <c r="E99" i="17"/>
  <c r="C101" i="17"/>
  <c r="D101" i="17"/>
  <c r="E101" i="17"/>
  <c r="B105" i="17"/>
  <c r="C105" i="17"/>
  <c r="B106" i="17"/>
  <c r="C106" i="17"/>
  <c r="D106" i="17"/>
  <c r="E106" i="17"/>
  <c r="B107" i="17"/>
  <c r="C107" i="17"/>
  <c r="D107" i="17"/>
  <c r="E107" i="17"/>
  <c r="B108" i="17"/>
  <c r="C108" i="17"/>
  <c r="D108" i="17"/>
  <c r="E108" i="17"/>
  <c r="B109" i="17"/>
  <c r="C109" i="17"/>
  <c r="D109" i="17"/>
  <c r="E109" i="17"/>
  <c r="B110" i="17"/>
  <c r="C110" i="17"/>
  <c r="D110" i="17"/>
  <c r="E110" i="17"/>
  <c r="B111" i="17"/>
  <c r="C111" i="17"/>
  <c r="D111" i="17"/>
  <c r="E111" i="17"/>
  <c r="B112" i="17"/>
  <c r="C112" i="17"/>
  <c r="D112" i="17"/>
  <c r="E112" i="17"/>
  <c r="B113" i="17"/>
  <c r="C113" i="17"/>
  <c r="D113" i="17"/>
  <c r="E113" i="17"/>
  <c r="B114" i="17"/>
  <c r="C114" i="17"/>
  <c r="D114" i="17"/>
  <c r="E114" i="17"/>
  <c r="B115" i="17"/>
  <c r="C115" i="17"/>
  <c r="D115" i="17"/>
  <c r="E115" i="17"/>
  <c r="B116" i="17"/>
  <c r="C116" i="17"/>
  <c r="D116" i="17"/>
  <c r="E116" i="17"/>
  <c r="B117" i="17"/>
  <c r="C117" i="17"/>
  <c r="D117" i="17"/>
  <c r="E117" i="17"/>
  <c r="B118" i="17"/>
  <c r="C118" i="17"/>
  <c r="D118" i="17"/>
  <c r="E118" i="17"/>
  <c r="B119" i="17"/>
  <c r="C119" i="17"/>
  <c r="D119" i="17"/>
  <c r="E119" i="17"/>
  <c r="B120" i="17"/>
  <c r="C120" i="17"/>
  <c r="D120" i="17"/>
  <c r="E120" i="17"/>
  <c r="B121" i="17"/>
  <c r="C121" i="17"/>
  <c r="D121" i="17"/>
  <c r="E121" i="17"/>
  <c r="B122" i="17"/>
  <c r="C122" i="17"/>
  <c r="D122" i="17"/>
  <c r="E122" i="17"/>
  <c r="B123" i="17"/>
  <c r="C123" i="17"/>
  <c r="D123" i="17"/>
  <c r="E123" i="17"/>
  <c r="B124" i="17"/>
  <c r="C124" i="17"/>
  <c r="D124" i="17"/>
  <c r="E124" i="17"/>
  <c r="B125" i="17"/>
  <c r="C125" i="17"/>
  <c r="D125" i="17"/>
  <c r="E125" i="17"/>
  <c r="B183" i="17"/>
  <c r="C183" i="17"/>
  <c r="B184" i="17"/>
  <c r="C184" i="17"/>
  <c r="D184" i="17"/>
  <c r="E184" i="17"/>
  <c r="B185" i="17"/>
  <c r="C185" i="17"/>
  <c r="D185" i="17"/>
  <c r="E185" i="17"/>
  <c r="B186" i="17"/>
  <c r="C186" i="17"/>
  <c r="D186" i="17"/>
  <c r="E186" i="17"/>
  <c r="B187" i="17"/>
  <c r="C187" i="17"/>
  <c r="B188" i="17"/>
  <c r="C188" i="17"/>
  <c r="D188" i="17"/>
  <c r="E188" i="17"/>
  <c r="B189" i="17"/>
  <c r="C189" i="17"/>
  <c r="D189" i="17"/>
  <c r="E189" i="17"/>
  <c r="B190" i="17"/>
  <c r="C190" i="17"/>
  <c r="D190" i="17"/>
  <c r="E190" i="17"/>
  <c r="B191" i="17"/>
  <c r="C191" i="17"/>
  <c r="D191" i="17"/>
  <c r="E191" i="17"/>
  <c r="B192" i="17"/>
  <c r="C192" i="17"/>
  <c r="D192" i="17"/>
  <c r="E192" i="17"/>
  <c r="C13" i="17"/>
  <c r="B13" i="17"/>
  <c r="C14" i="17"/>
  <c r="B14" i="17"/>
  <c r="E14" i="17"/>
  <c r="D14" i="17"/>
  <c r="C16" i="9"/>
  <c r="B16" i="9"/>
  <c r="D233" i="9"/>
  <c r="B18" i="9"/>
  <c r="C18" i="9"/>
  <c r="D18" i="9"/>
  <c r="B19" i="9"/>
  <c r="B22" i="9"/>
  <c r="B65" i="9"/>
  <c r="C65" i="9"/>
  <c r="B66" i="9"/>
  <c r="C66" i="9"/>
  <c r="D66" i="9"/>
  <c r="B67" i="9"/>
  <c r="C67" i="9"/>
  <c r="D67" i="9"/>
  <c r="B68" i="9"/>
  <c r="C68" i="9"/>
  <c r="D68" i="9"/>
  <c r="B69" i="9"/>
  <c r="C69" i="9"/>
  <c r="D69" i="9"/>
  <c r="B70" i="9"/>
  <c r="C70" i="9"/>
  <c r="D70" i="9"/>
  <c r="B71" i="9"/>
  <c r="C71" i="9"/>
  <c r="D71" i="9"/>
  <c r="B72" i="9"/>
  <c r="C72" i="9"/>
  <c r="D72" i="9"/>
  <c r="B73" i="9"/>
  <c r="C73" i="9"/>
  <c r="D73" i="9"/>
  <c r="B74" i="9"/>
  <c r="C74" i="9"/>
  <c r="B75" i="9"/>
  <c r="C75" i="9"/>
  <c r="D75" i="9"/>
  <c r="B76" i="9"/>
  <c r="C76" i="9"/>
  <c r="D76" i="9"/>
  <c r="B77" i="9"/>
  <c r="C77" i="9"/>
  <c r="D77" i="9"/>
  <c r="B78" i="9"/>
  <c r="C78" i="9"/>
  <c r="D78" i="9"/>
  <c r="B79" i="9"/>
  <c r="C79" i="9"/>
  <c r="D79" i="9"/>
  <c r="B80" i="9"/>
  <c r="C80" i="9"/>
  <c r="D80" i="9"/>
  <c r="B81" i="9"/>
  <c r="C81" i="9"/>
  <c r="B82" i="9"/>
  <c r="C82" i="9"/>
  <c r="D82" i="9"/>
  <c r="B84" i="9"/>
  <c r="C84" i="9"/>
  <c r="D84" i="9"/>
  <c r="B85" i="9"/>
  <c r="C85" i="9"/>
  <c r="D85" i="9"/>
  <c r="B86" i="9"/>
  <c r="C86" i="9"/>
  <c r="D86" i="9"/>
  <c r="B87" i="9"/>
  <c r="C87" i="9"/>
  <c r="D87" i="9"/>
  <c r="B88" i="9"/>
  <c r="C88" i="9"/>
  <c r="D88" i="9"/>
  <c r="B89" i="9"/>
  <c r="C89" i="9"/>
  <c r="D89" i="9"/>
  <c r="B90" i="9"/>
  <c r="C90" i="9"/>
  <c r="B91" i="9"/>
  <c r="C91" i="9"/>
  <c r="D91" i="9"/>
  <c r="B93" i="9"/>
  <c r="C93" i="9"/>
  <c r="D93" i="9"/>
  <c r="B96" i="9"/>
  <c r="C96" i="9"/>
  <c r="D96" i="9"/>
  <c r="B97" i="9"/>
  <c r="C97" i="9"/>
  <c r="D97" i="9"/>
  <c r="B98" i="9"/>
  <c r="C98" i="9"/>
  <c r="D98" i="9"/>
  <c r="B99" i="9"/>
  <c r="C99" i="9"/>
  <c r="D99" i="9"/>
  <c r="C107" i="9"/>
  <c r="D107" i="9"/>
  <c r="C108" i="9"/>
  <c r="D108" i="9"/>
  <c r="C109" i="9"/>
  <c r="D109" i="9"/>
  <c r="C111" i="9"/>
  <c r="D111" i="9"/>
  <c r="B115" i="9"/>
  <c r="C115" i="9"/>
  <c r="B116" i="9"/>
  <c r="C116" i="9"/>
  <c r="D116" i="9"/>
  <c r="B124" i="9"/>
  <c r="C124" i="9"/>
  <c r="B125" i="9"/>
  <c r="C125" i="9"/>
  <c r="D125" i="9"/>
  <c r="B126" i="9"/>
  <c r="C126" i="9"/>
  <c r="D126" i="9"/>
  <c r="B127" i="9"/>
  <c r="C127" i="9"/>
  <c r="D127" i="9"/>
  <c r="B128" i="9"/>
  <c r="C128" i="9"/>
  <c r="D128" i="9"/>
  <c r="B129" i="9"/>
  <c r="C129" i="9"/>
  <c r="D129" i="9"/>
  <c r="B130" i="9"/>
  <c r="C130" i="9"/>
  <c r="D130" i="9"/>
  <c r="B131" i="9"/>
  <c r="C131" i="9"/>
  <c r="D131" i="9"/>
  <c r="B132" i="9"/>
  <c r="C132" i="9"/>
  <c r="D132" i="9"/>
  <c r="B133" i="9"/>
  <c r="C133" i="9"/>
  <c r="D133" i="9"/>
  <c r="B134" i="9"/>
  <c r="C134" i="9"/>
  <c r="D134" i="9"/>
  <c r="B135" i="9"/>
  <c r="C135" i="9"/>
  <c r="D135" i="9"/>
  <c r="B136" i="9"/>
  <c r="C136" i="9"/>
  <c r="D136" i="9"/>
  <c r="B137" i="9"/>
  <c r="C137" i="9"/>
  <c r="D137" i="9"/>
  <c r="B138" i="9"/>
  <c r="C138" i="9"/>
  <c r="D138" i="9"/>
  <c r="B139" i="9"/>
  <c r="C139" i="9"/>
  <c r="D139" i="9"/>
  <c r="B140" i="9"/>
  <c r="C140" i="9"/>
  <c r="D140" i="9"/>
  <c r="B141" i="9"/>
  <c r="C141" i="9"/>
  <c r="D141" i="9"/>
  <c r="B142" i="9"/>
  <c r="C142" i="9"/>
  <c r="D142" i="9"/>
  <c r="B143" i="9"/>
  <c r="C143" i="9"/>
  <c r="D143" i="9"/>
  <c r="B144" i="9"/>
  <c r="C144" i="9"/>
  <c r="D144" i="9"/>
  <c r="B160" i="9"/>
  <c r="C160" i="9"/>
  <c r="B161" i="9"/>
  <c r="C161" i="9"/>
  <c r="D161" i="9"/>
  <c r="D142" i="17" s="1"/>
  <c r="B162" i="9"/>
  <c r="C162" i="9"/>
  <c r="D162" i="9"/>
  <c r="D143" i="17" s="1"/>
  <c r="B163" i="9"/>
  <c r="C163" i="9"/>
  <c r="D163" i="9"/>
  <c r="D144" i="17" s="1"/>
  <c r="B164" i="9"/>
  <c r="C164" i="9"/>
  <c r="D164" i="9"/>
  <c r="D145" i="17" s="1"/>
  <c r="B165" i="9"/>
  <c r="C165" i="9"/>
  <c r="D165" i="9"/>
  <c r="D146" i="17" s="1"/>
  <c r="B166" i="9"/>
  <c r="C166" i="9"/>
  <c r="D166" i="9"/>
  <c r="D147" i="17" s="1"/>
  <c r="B167" i="9"/>
  <c r="C167" i="9"/>
  <c r="D167" i="9"/>
  <c r="D148" i="17" s="1"/>
  <c r="B169" i="9"/>
  <c r="C169" i="9"/>
  <c r="B170" i="9"/>
  <c r="C170" i="9"/>
  <c r="D170" i="9"/>
  <c r="B171" i="9"/>
  <c r="C171" i="9"/>
  <c r="D171" i="9"/>
  <c r="B172" i="9"/>
  <c r="C172" i="9"/>
  <c r="D172" i="9"/>
  <c r="B173" i="9"/>
  <c r="C173" i="9"/>
  <c r="D173" i="9"/>
  <c r="B174" i="9"/>
  <c r="C174" i="9"/>
  <c r="B175" i="9"/>
  <c r="C175" i="9"/>
  <c r="D175" i="9"/>
  <c r="B176" i="9"/>
  <c r="C176" i="9"/>
  <c r="D176" i="9"/>
  <c r="B177" i="9"/>
  <c r="C177" i="9"/>
  <c r="D177" i="9"/>
  <c r="B178" i="9"/>
  <c r="C178" i="9"/>
  <c r="D178" i="9"/>
  <c r="B179" i="9"/>
  <c r="C179" i="9"/>
  <c r="D179" i="9"/>
  <c r="B180" i="9"/>
  <c r="C180" i="9"/>
  <c r="B181" i="9"/>
  <c r="C181" i="9"/>
  <c r="D181" i="9"/>
  <c r="B182" i="9"/>
  <c r="C182" i="9"/>
  <c r="D182" i="9"/>
  <c r="B183" i="9"/>
  <c r="C183" i="9"/>
  <c r="D183" i="9"/>
  <c r="B184" i="9"/>
  <c r="C184" i="9"/>
  <c r="D184" i="9"/>
  <c r="B185" i="9"/>
  <c r="C185" i="9"/>
  <c r="D185" i="9"/>
  <c r="B186" i="9"/>
  <c r="C186" i="9"/>
  <c r="D186" i="9"/>
  <c r="B187" i="9"/>
  <c r="C187" i="9"/>
  <c r="D187" i="9"/>
  <c r="B188" i="9"/>
  <c r="C188" i="9"/>
  <c r="D188" i="9"/>
  <c r="B189" i="9"/>
  <c r="C189" i="9"/>
  <c r="D189" i="9"/>
  <c r="B190" i="9"/>
  <c r="C190" i="9"/>
  <c r="D190" i="9"/>
  <c r="B191" i="9"/>
  <c r="D191" i="9"/>
  <c r="B192" i="9"/>
  <c r="C192" i="9"/>
  <c r="D192" i="9"/>
  <c r="B193" i="9"/>
  <c r="C193" i="9"/>
  <c r="D193" i="9"/>
  <c r="B194" i="9"/>
  <c r="C194" i="9"/>
  <c r="D194" i="9"/>
  <c r="B195" i="9"/>
  <c r="C195" i="9"/>
  <c r="D195" i="9"/>
  <c r="B230" i="9"/>
  <c r="C230" i="9"/>
  <c r="B231" i="9"/>
  <c r="C231" i="9"/>
  <c r="D231" i="9"/>
  <c r="B232" i="9"/>
  <c r="C232" i="9"/>
  <c r="D232" i="9"/>
  <c r="B233" i="9"/>
  <c r="C233" i="9"/>
  <c r="B234" i="9"/>
  <c r="C234" i="9"/>
  <c r="B235" i="9"/>
  <c r="C235" i="9"/>
  <c r="D235" i="9"/>
  <c r="B236" i="9"/>
  <c r="C236" i="9"/>
  <c r="D236" i="9"/>
  <c r="B237" i="9"/>
  <c r="C237" i="9"/>
  <c r="D237" i="9"/>
  <c r="B238" i="9"/>
  <c r="C238" i="9"/>
  <c r="D238" i="9"/>
  <c r="B239" i="9"/>
  <c r="C239" i="9"/>
  <c r="D239" i="9"/>
  <c r="D17" i="9"/>
  <c r="C17" i="9"/>
  <c r="B17" i="9"/>
  <c r="F6" i="17"/>
  <c r="H184" i="17"/>
  <c r="K184" i="17"/>
  <c r="L184" i="17"/>
  <c r="O184" i="17"/>
  <c r="P184" i="17"/>
  <c r="S184" i="17"/>
  <c r="T184" i="17"/>
  <c r="W184" i="17"/>
  <c r="X184" i="17"/>
  <c r="Z184" i="17"/>
  <c r="H185" i="17"/>
  <c r="K185" i="17"/>
  <c r="L185" i="17"/>
  <c r="O185" i="17"/>
  <c r="P185" i="17"/>
  <c r="S185" i="17"/>
  <c r="T185" i="17"/>
  <c r="W185" i="17"/>
  <c r="X185" i="17"/>
  <c r="Z185" i="17"/>
  <c r="H186" i="17"/>
  <c r="K186" i="17"/>
  <c r="L186" i="17"/>
  <c r="O186" i="17"/>
  <c r="P186" i="17"/>
  <c r="S186" i="17"/>
  <c r="T186" i="17"/>
  <c r="W186" i="17"/>
  <c r="X186" i="17"/>
  <c r="Z186" i="17"/>
  <c r="H188" i="17"/>
  <c r="K188" i="17"/>
  <c r="L188" i="17"/>
  <c r="O188" i="17"/>
  <c r="P188" i="17"/>
  <c r="S188" i="17"/>
  <c r="T188" i="17"/>
  <c r="W188" i="17"/>
  <c r="X188" i="17"/>
  <c r="Z188" i="17"/>
  <c r="H189" i="17"/>
  <c r="K189" i="17"/>
  <c r="L189" i="17"/>
  <c r="O189" i="17"/>
  <c r="P189" i="17"/>
  <c r="S189" i="17"/>
  <c r="T189" i="17"/>
  <c r="W189" i="17"/>
  <c r="X189" i="17"/>
  <c r="Z189" i="17"/>
  <c r="H190" i="17"/>
  <c r="K190" i="17"/>
  <c r="L190" i="17"/>
  <c r="O190" i="17"/>
  <c r="P190" i="17"/>
  <c r="S190" i="17"/>
  <c r="T190" i="17"/>
  <c r="W190" i="17"/>
  <c r="X190" i="17"/>
  <c r="Z190" i="17"/>
  <c r="H191" i="17"/>
  <c r="K191" i="17"/>
  <c r="L191" i="17"/>
  <c r="O191" i="17"/>
  <c r="P191" i="17"/>
  <c r="S191" i="17"/>
  <c r="T191" i="17"/>
  <c r="W191" i="17"/>
  <c r="X191" i="17"/>
  <c r="Z191" i="17"/>
  <c r="H192" i="17"/>
  <c r="K192" i="17"/>
  <c r="L192" i="17"/>
  <c r="O192" i="17"/>
  <c r="P192" i="17"/>
  <c r="S192" i="17"/>
  <c r="T192" i="17"/>
  <c r="W192" i="17"/>
  <c r="X192" i="17"/>
  <c r="Z192" i="17"/>
  <c r="C5" i="20"/>
  <c r="C4" i="27"/>
  <c r="L8" i="22"/>
  <c r="L7" i="22"/>
  <c r="L6" i="22"/>
  <c r="L5" i="22"/>
  <c r="L4" i="22"/>
  <c r="J9" i="23"/>
  <c r="K9" i="23" s="1"/>
  <c r="J10" i="23"/>
  <c r="K10" i="23" s="1"/>
  <c r="J11" i="23"/>
  <c r="K11" i="23" s="1"/>
  <c r="J25" i="23"/>
  <c r="K25" i="23" s="1"/>
  <c r="J26" i="23"/>
  <c r="K26" i="23" s="1"/>
  <c r="J27" i="23"/>
  <c r="K27" i="23" s="1"/>
  <c r="J37" i="23"/>
  <c r="N37" i="23" s="1"/>
  <c r="J43" i="23"/>
  <c r="K43" i="23" s="1"/>
  <c r="J44" i="23"/>
  <c r="K44" i="23" s="1"/>
  <c r="J45" i="23"/>
  <c r="K45" i="23" s="1"/>
  <c r="J46" i="23"/>
  <c r="K46" i="23" s="1"/>
  <c r="J47" i="23"/>
  <c r="K47" i="23" s="1"/>
  <c r="J48" i="23"/>
  <c r="N48" i="23" s="1"/>
  <c r="R48" i="23" s="1"/>
  <c r="J49" i="23"/>
  <c r="K49" i="23" s="1"/>
  <c r="J58" i="23"/>
  <c r="N58" i="23" s="1"/>
  <c r="R58" i="23" s="1"/>
  <c r="J59" i="23"/>
  <c r="K59" i="23" s="1"/>
  <c r="J83" i="23"/>
  <c r="K83" i="23" s="1"/>
  <c r="J84" i="23"/>
  <c r="K84" i="23" s="1"/>
  <c r="J85" i="23"/>
  <c r="K85" i="23" s="1"/>
  <c r="J86" i="23"/>
  <c r="K86" i="23" s="1"/>
  <c r="J87" i="23"/>
  <c r="N87" i="23" s="1"/>
  <c r="J88" i="23"/>
  <c r="K88" i="23" s="1"/>
  <c r="J89" i="23"/>
  <c r="K89" i="23" s="1"/>
  <c r="J134" i="23"/>
  <c r="K134" i="23" s="1"/>
  <c r="J135" i="23"/>
  <c r="K135" i="23" s="1"/>
  <c r="J136" i="23"/>
  <c r="K136" i="23" s="1"/>
  <c r="J137" i="23"/>
  <c r="K137" i="23" s="1"/>
  <c r="J139" i="23"/>
  <c r="N139" i="23" s="1"/>
  <c r="J140" i="23"/>
  <c r="K140" i="23" s="1"/>
  <c r="J148" i="23"/>
  <c r="K148" i="23" s="1"/>
  <c r="J149" i="23"/>
  <c r="K149" i="23" s="1"/>
  <c r="J150" i="23"/>
  <c r="N150" i="23" s="1"/>
  <c r="J153" i="23"/>
  <c r="K153" i="23" s="1"/>
  <c r="J154" i="23"/>
  <c r="K154" i="23" s="1"/>
  <c r="J155" i="23"/>
  <c r="K155" i="23" s="1"/>
  <c r="J156" i="23"/>
  <c r="N156" i="23" s="1"/>
  <c r="J157" i="23"/>
  <c r="K157" i="23" s="1"/>
  <c r="J162" i="23"/>
  <c r="K162" i="23" s="1"/>
  <c r="J163" i="23"/>
  <c r="K163" i="23" s="1"/>
  <c r="J164" i="23"/>
  <c r="N164" i="23" s="1"/>
  <c r="J166" i="23"/>
  <c r="N166" i="23" s="1"/>
  <c r="J167" i="23"/>
  <c r="K167" i="23" s="1"/>
  <c r="J168" i="23"/>
  <c r="K168" i="23" s="1"/>
  <c r="J169" i="23"/>
  <c r="N169" i="23" s="1"/>
  <c r="O169" i="23" s="1"/>
  <c r="J171" i="23"/>
  <c r="N171" i="23" s="1"/>
  <c r="J173" i="23"/>
  <c r="K173" i="23" s="1"/>
  <c r="J175" i="23"/>
  <c r="N175" i="23" s="1"/>
  <c r="J176" i="23"/>
  <c r="N176" i="23" s="1"/>
  <c r="J177" i="23"/>
  <c r="N177" i="23" s="1"/>
  <c r="J204" i="23"/>
  <c r="N204" i="23" s="1"/>
  <c r="O204" i="23" s="1"/>
  <c r="J205" i="23"/>
  <c r="N205" i="23" s="1"/>
  <c r="J206" i="23"/>
  <c r="N206" i="23" s="1"/>
  <c r="O206" i="23" s="1"/>
  <c r="J207" i="23"/>
  <c r="K207" i="23" s="1"/>
  <c r="J253" i="23"/>
  <c r="N253" i="23" s="1"/>
  <c r="J254" i="23"/>
  <c r="K254" i="23" s="1"/>
  <c r="J255" i="23"/>
  <c r="N255" i="23" s="1"/>
  <c r="R255" i="23" s="1"/>
  <c r="J256" i="23"/>
  <c r="K256" i="23" s="1"/>
  <c r="J274" i="23"/>
  <c r="N274" i="23" s="1"/>
  <c r="Z19" i="24"/>
  <c r="X19" i="24"/>
  <c r="W19" i="24"/>
  <c r="T19" i="24"/>
  <c r="S19" i="24"/>
  <c r="P19" i="24"/>
  <c r="O19" i="24"/>
  <c r="L19" i="24"/>
  <c r="K19" i="24"/>
  <c r="H19" i="24"/>
  <c r="F19" i="24"/>
  <c r="Z18" i="24"/>
  <c r="X18" i="24"/>
  <c r="W18" i="24"/>
  <c r="T18" i="24"/>
  <c r="S18" i="24"/>
  <c r="P18" i="24"/>
  <c r="O18" i="24"/>
  <c r="L18" i="24"/>
  <c r="K18" i="24"/>
  <c r="H18" i="24"/>
  <c r="F18" i="24"/>
  <c r="Z17" i="24"/>
  <c r="X17" i="24"/>
  <c r="W17" i="24"/>
  <c r="T17" i="24"/>
  <c r="P17" i="24"/>
  <c r="O17" i="24"/>
  <c r="L17" i="24"/>
  <c r="K17" i="24"/>
  <c r="H17" i="24"/>
  <c r="F17" i="24"/>
  <c r="Z34" i="21"/>
  <c r="X34" i="21"/>
  <c r="W34" i="21"/>
  <c r="T34" i="21"/>
  <c r="S34" i="21"/>
  <c r="P34" i="21"/>
  <c r="O34" i="21"/>
  <c r="L34" i="21"/>
  <c r="K34" i="21"/>
  <c r="H34" i="21"/>
  <c r="F34" i="21"/>
  <c r="Z30" i="21"/>
  <c r="X30" i="21"/>
  <c r="W30" i="21"/>
  <c r="T30" i="21"/>
  <c r="S30" i="21"/>
  <c r="P30" i="21"/>
  <c r="O30" i="21"/>
  <c r="L30" i="21"/>
  <c r="K30" i="21"/>
  <c r="H30" i="21"/>
  <c r="F30" i="21"/>
  <c r="Z21" i="21"/>
  <c r="X21" i="21"/>
  <c r="W21" i="21"/>
  <c r="T21" i="21"/>
  <c r="S21" i="21"/>
  <c r="P21" i="21"/>
  <c r="O21" i="21"/>
  <c r="L21" i="21"/>
  <c r="K21" i="21"/>
  <c r="H21" i="21"/>
  <c r="F21" i="21"/>
  <c r="Z20" i="21"/>
  <c r="X20" i="21"/>
  <c r="W20" i="21"/>
  <c r="T20" i="21"/>
  <c r="S20" i="21"/>
  <c r="P20" i="21"/>
  <c r="O20" i="21"/>
  <c r="L20" i="21"/>
  <c r="K20" i="21"/>
  <c r="H20" i="21"/>
  <c r="F20" i="21"/>
  <c r="Z22" i="20"/>
  <c r="X22" i="20"/>
  <c r="W22" i="20"/>
  <c r="T22" i="20"/>
  <c r="S22" i="20"/>
  <c r="P22" i="20"/>
  <c r="O22" i="20"/>
  <c r="L22" i="20"/>
  <c r="K22" i="20"/>
  <c r="H22" i="20"/>
  <c r="Z21" i="20"/>
  <c r="X21" i="20"/>
  <c r="W21" i="20"/>
  <c r="T21" i="20"/>
  <c r="S21" i="20"/>
  <c r="P21" i="20"/>
  <c r="O21" i="20"/>
  <c r="L21" i="20"/>
  <c r="K21" i="20"/>
  <c r="H21" i="20"/>
  <c r="F21" i="20"/>
  <c r="Z20" i="20"/>
  <c r="X20" i="20"/>
  <c r="W20" i="20"/>
  <c r="T20" i="20"/>
  <c r="S20" i="20"/>
  <c r="P20" i="20"/>
  <c r="O20" i="20"/>
  <c r="L20" i="20"/>
  <c r="K20" i="20"/>
  <c r="H20" i="20"/>
  <c r="Z19" i="20"/>
  <c r="X19" i="20"/>
  <c r="W19" i="20"/>
  <c r="T19" i="20"/>
  <c r="S19" i="20"/>
  <c r="P19" i="20"/>
  <c r="O19" i="20"/>
  <c r="L19" i="20"/>
  <c r="K19" i="20"/>
  <c r="H19" i="20"/>
  <c r="Z18" i="20"/>
  <c r="X18" i="20"/>
  <c r="W18" i="20"/>
  <c r="T18" i="20"/>
  <c r="S18" i="20"/>
  <c r="P18" i="20"/>
  <c r="O18" i="20"/>
  <c r="L18" i="20"/>
  <c r="K18" i="20"/>
  <c r="H18" i="20"/>
  <c r="F18" i="20"/>
  <c r="Z16" i="20"/>
  <c r="X16" i="20"/>
  <c r="W16" i="20"/>
  <c r="T16" i="20"/>
  <c r="S16" i="20"/>
  <c r="P16" i="20"/>
  <c r="O16" i="20"/>
  <c r="L16" i="20"/>
  <c r="K16" i="20"/>
  <c r="H16" i="20"/>
  <c r="F16" i="20"/>
  <c r="Z16" i="19"/>
  <c r="X16" i="19"/>
  <c r="W16" i="19"/>
  <c r="T16" i="19"/>
  <c r="S16" i="19"/>
  <c r="P16" i="19"/>
  <c r="O16" i="19"/>
  <c r="L16" i="19"/>
  <c r="K16" i="19"/>
  <c r="H16" i="19"/>
  <c r="F16" i="19"/>
  <c r="Z30" i="18"/>
  <c r="X30" i="18"/>
  <c r="W30" i="18"/>
  <c r="T30" i="18"/>
  <c r="S30" i="18"/>
  <c r="P30" i="18"/>
  <c r="O30" i="18"/>
  <c r="L30" i="18"/>
  <c r="K30" i="18"/>
  <c r="H30" i="18"/>
  <c r="F30" i="18"/>
  <c r="Z29" i="18"/>
  <c r="X29" i="18"/>
  <c r="W29" i="18"/>
  <c r="T29" i="18"/>
  <c r="S29" i="18"/>
  <c r="P29" i="18"/>
  <c r="O29" i="18"/>
  <c r="L29" i="18"/>
  <c r="K29" i="18"/>
  <c r="H29" i="18"/>
  <c r="F29" i="18"/>
  <c r="Z28" i="18"/>
  <c r="X28" i="18"/>
  <c r="W28" i="18"/>
  <c r="T28" i="18"/>
  <c r="S28" i="18"/>
  <c r="P28" i="18"/>
  <c r="O28" i="18"/>
  <c r="L28" i="18"/>
  <c r="K28" i="18"/>
  <c r="H28" i="18"/>
  <c r="F28" i="18"/>
  <c r="Z27" i="18"/>
  <c r="X27" i="18"/>
  <c r="W27" i="18"/>
  <c r="T27" i="18"/>
  <c r="S27" i="18"/>
  <c r="P27" i="18"/>
  <c r="O27" i="18"/>
  <c r="L27" i="18"/>
  <c r="K27" i="18"/>
  <c r="H27" i="18"/>
  <c r="F27" i="18"/>
  <c r="F5" i="17"/>
  <c r="F4" i="17"/>
  <c r="F3" i="17"/>
  <c r="C4" i="17"/>
  <c r="F14" i="17"/>
  <c r="F17" i="17"/>
  <c r="H17" i="17"/>
  <c r="K17" i="17"/>
  <c r="L17" i="17"/>
  <c r="O17" i="17"/>
  <c r="P17" i="17"/>
  <c r="S17" i="17"/>
  <c r="T17" i="17"/>
  <c r="W17" i="17"/>
  <c r="X17" i="17"/>
  <c r="Z17" i="17"/>
  <c r="F18" i="17"/>
  <c r="H18" i="17"/>
  <c r="K18" i="17"/>
  <c r="L18" i="17"/>
  <c r="O18" i="17"/>
  <c r="P18" i="17"/>
  <c r="S18" i="17"/>
  <c r="T18" i="17"/>
  <c r="W18" i="17"/>
  <c r="X18" i="17"/>
  <c r="Z18" i="17"/>
  <c r="F65" i="17"/>
  <c r="H65" i="17"/>
  <c r="K65" i="17"/>
  <c r="L65" i="17"/>
  <c r="O65" i="17"/>
  <c r="P65" i="17"/>
  <c r="S65" i="17"/>
  <c r="T65" i="17"/>
  <c r="W65" i="17"/>
  <c r="X65" i="17"/>
  <c r="Z65" i="17"/>
  <c r="F66" i="17"/>
  <c r="H66" i="17"/>
  <c r="K66" i="17"/>
  <c r="L66" i="17"/>
  <c r="O66" i="17"/>
  <c r="P66" i="17"/>
  <c r="S66" i="17"/>
  <c r="T66" i="17"/>
  <c r="W66" i="17"/>
  <c r="X66" i="17"/>
  <c r="Z66" i="17"/>
  <c r="F67" i="17"/>
  <c r="H67" i="17"/>
  <c r="K67" i="17"/>
  <c r="L67" i="17"/>
  <c r="O67" i="17"/>
  <c r="P67" i="17"/>
  <c r="S67" i="17"/>
  <c r="T67" i="17"/>
  <c r="W67" i="17"/>
  <c r="X67" i="17"/>
  <c r="Z67" i="17"/>
  <c r="F68" i="17"/>
  <c r="H68" i="17"/>
  <c r="K68" i="17"/>
  <c r="L68" i="17"/>
  <c r="O68" i="17"/>
  <c r="P68" i="17"/>
  <c r="S68" i="17"/>
  <c r="T68" i="17"/>
  <c r="W68" i="17"/>
  <c r="X68" i="17"/>
  <c r="Z68" i="17"/>
  <c r="F69" i="17"/>
  <c r="H69" i="17"/>
  <c r="K69" i="17"/>
  <c r="L69" i="17"/>
  <c r="O69" i="17"/>
  <c r="P69" i="17"/>
  <c r="S69" i="17"/>
  <c r="T69" i="17"/>
  <c r="W69" i="17"/>
  <c r="X69" i="17"/>
  <c r="Z69" i="17"/>
  <c r="F70" i="17"/>
  <c r="H70" i="17"/>
  <c r="K70" i="17"/>
  <c r="L70" i="17"/>
  <c r="O70" i="17"/>
  <c r="P70" i="17"/>
  <c r="S70" i="17"/>
  <c r="T70" i="17"/>
  <c r="W70" i="17"/>
  <c r="X70" i="17"/>
  <c r="Z70" i="17"/>
  <c r="F72" i="17"/>
  <c r="H72" i="17"/>
  <c r="K72" i="17"/>
  <c r="L72" i="17"/>
  <c r="O72" i="17"/>
  <c r="P72" i="17"/>
  <c r="S72" i="17"/>
  <c r="T72" i="17"/>
  <c r="W72" i="17"/>
  <c r="X72" i="17"/>
  <c r="Z72" i="17"/>
  <c r="F73" i="17"/>
  <c r="H73" i="17"/>
  <c r="K73" i="17"/>
  <c r="L73" i="17"/>
  <c r="O73" i="17"/>
  <c r="P73" i="17"/>
  <c r="S73" i="17"/>
  <c r="T73" i="17"/>
  <c r="W73" i="17"/>
  <c r="X73" i="17"/>
  <c r="Z73" i="17"/>
  <c r="F74" i="17"/>
  <c r="H74" i="17"/>
  <c r="K74" i="17"/>
  <c r="L74" i="17"/>
  <c r="O74" i="17"/>
  <c r="P74" i="17"/>
  <c r="S74" i="17"/>
  <c r="T74" i="17"/>
  <c r="W74" i="17"/>
  <c r="X74" i="17"/>
  <c r="Z74" i="17"/>
  <c r="F75" i="17"/>
  <c r="H75" i="17"/>
  <c r="K75" i="17"/>
  <c r="L75" i="17"/>
  <c r="O75" i="17"/>
  <c r="P75" i="17"/>
  <c r="S75" i="17"/>
  <c r="T75" i="17"/>
  <c r="W75" i="17"/>
  <c r="X75" i="17"/>
  <c r="Z75" i="17"/>
  <c r="F76" i="17"/>
  <c r="H76" i="17"/>
  <c r="K76" i="17"/>
  <c r="L76" i="17"/>
  <c r="O76" i="17"/>
  <c r="P76" i="17"/>
  <c r="S76" i="17"/>
  <c r="T76" i="17"/>
  <c r="W76" i="17"/>
  <c r="X76" i="17"/>
  <c r="Z76" i="17"/>
  <c r="F77" i="17"/>
  <c r="H77" i="17"/>
  <c r="K77" i="17"/>
  <c r="L77" i="17"/>
  <c r="O77" i="17"/>
  <c r="P77" i="17"/>
  <c r="S77" i="17"/>
  <c r="T77" i="17"/>
  <c r="W77" i="17"/>
  <c r="X77" i="17"/>
  <c r="Z77" i="17"/>
  <c r="H81" i="17"/>
  <c r="K81" i="17"/>
  <c r="L81" i="17"/>
  <c r="O81" i="17"/>
  <c r="P81" i="17"/>
  <c r="S81" i="17"/>
  <c r="T81" i="17"/>
  <c r="W81" i="17"/>
  <c r="X81" i="17"/>
  <c r="Z81" i="17"/>
  <c r="H83" i="17"/>
  <c r="K83" i="17"/>
  <c r="L83" i="17"/>
  <c r="O83" i="17"/>
  <c r="P83" i="17"/>
  <c r="S83" i="17"/>
  <c r="T83" i="17"/>
  <c r="W83" i="17"/>
  <c r="X83" i="17"/>
  <c r="Z83" i="17"/>
  <c r="F86" i="17"/>
  <c r="H86" i="17"/>
  <c r="K86" i="17"/>
  <c r="L86" i="17"/>
  <c r="O86" i="17"/>
  <c r="P86" i="17"/>
  <c r="S86" i="17"/>
  <c r="T86" i="17"/>
  <c r="W86" i="17"/>
  <c r="X86" i="17"/>
  <c r="Z86" i="17"/>
  <c r="H87" i="17"/>
  <c r="K87" i="17"/>
  <c r="L87" i="17"/>
  <c r="O87" i="17"/>
  <c r="P87" i="17"/>
  <c r="S87" i="17"/>
  <c r="T87" i="17"/>
  <c r="W87" i="17"/>
  <c r="X87" i="17"/>
  <c r="Z87" i="17"/>
  <c r="F88" i="17"/>
  <c r="H88" i="17"/>
  <c r="K88" i="17"/>
  <c r="L88" i="17"/>
  <c r="O88" i="17"/>
  <c r="P88" i="17"/>
  <c r="S88" i="17"/>
  <c r="T88" i="17"/>
  <c r="W88" i="17"/>
  <c r="X88" i="17"/>
  <c r="Z88" i="17"/>
  <c r="H89" i="17"/>
  <c r="K89" i="17"/>
  <c r="L89" i="17"/>
  <c r="O89" i="17"/>
  <c r="P89" i="17"/>
  <c r="S89" i="17"/>
  <c r="T89" i="17"/>
  <c r="W89" i="17"/>
  <c r="X89" i="17"/>
  <c r="Z89" i="17"/>
  <c r="F97" i="17"/>
  <c r="H97" i="17"/>
  <c r="K97" i="17"/>
  <c r="L97" i="17"/>
  <c r="O97" i="17"/>
  <c r="P97" i="17"/>
  <c r="S97" i="17"/>
  <c r="T97" i="17"/>
  <c r="W97" i="17"/>
  <c r="X97" i="17"/>
  <c r="Z97" i="17"/>
  <c r="F98" i="17"/>
  <c r="H98" i="17"/>
  <c r="K98" i="17"/>
  <c r="L98" i="17"/>
  <c r="O98" i="17"/>
  <c r="P98" i="17"/>
  <c r="S98" i="17"/>
  <c r="T98" i="17"/>
  <c r="W98" i="17"/>
  <c r="X98" i="17"/>
  <c r="Z98" i="17"/>
  <c r="F99" i="17"/>
  <c r="H99" i="17"/>
  <c r="K99" i="17"/>
  <c r="L99" i="17"/>
  <c r="O99" i="17"/>
  <c r="P99" i="17"/>
  <c r="S99" i="17"/>
  <c r="T99" i="17"/>
  <c r="W99" i="17"/>
  <c r="X99" i="17"/>
  <c r="Z99" i="17"/>
  <c r="F101" i="17"/>
  <c r="H101" i="17"/>
  <c r="K101" i="17"/>
  <c r="L101" i="17"/>
  <c r="O101" i="17"/>
  <c r="P101" i="17"/>
  <c r="S101" i="17"/>
  <c r="T101" i="17"/>
  <c r="W101" i="17"/>
  <c r="X101" i="17"/>
  <c r="Z101" i="17"/>
  <c r="F106" i="17"/>
  <c r="H106" i="17"/>
  <c r="K106" i="17"/>
  <c r="L106" i="17"/>
  <c r="O106" i="17"/>
  <c r="P106" i="17"/>
  <c r="S106" i="17"/>
  <c r="T106" i="17"/>
  <c r="W106" i="17"/>
  <c r="X106" i="17"/>
  <c r="Z106" i="17"/>
  <c r="F107" i="17"/>
  <c r="H107" i="17"/>
  <c r="K107" i="17"/>
  <c r="L107" i="17"/>
  <c r="O107" i="17"/>
  <c r="P107" i="17"/>
  <c r="S107" i="17"/>
  <c r="T107" i="17"/>
  <c r="W107" i="17"/>
  <c r="X107" i="17"/>
  <c r="Z107" i="17"/>
  <c r="F108" i="17"/>
  <c r="H108" i="17"/>
  <c r="K108" i="17"/>
  <c r="L108" i="17"/>
  <c r="O108" i="17"/>
  <c r="P108" i="17"/>
  <c r="S108" i="17"/>
  <c r="T108" i="17"/>
  <c r="W108" i="17"/>
  <c r="X108" i="17"/>
  <c r="Z108" i="17"/>
  <c r="F109" i="17"/>
  <c r="H109" i="17"/>
  <c r="K109" i="17"/>
  <c r="L109" i="17"/>
  <c r="O109" i="17"/>
  <c r="P109" i="17"/>
  <c r="S109" i="17"/>
  <c r="T109" i="17"/>
  <c r="W109" i="17"/>
  <c r="X109" i="17"/>
  <c r="Z109" i="17"/>
  <c r="F110" i="17"/>
  <c r="H110" i="17"/>
  <c r="K110" i="17"/>
  <c r="L110" i="17"/>
  <c r="O110" i="17"/>
  <c r="P110" i="17"/>
  <c r="S110" i="17"/>
  <c r="T110" i="17"/>
  <c r="W110" i="17"/>
  <c r="X110" i="17"/>
  <c r="Z110" i="17"/>
  <c r="F111" i="17"/>
  <c r="H111" i="17"/>
  <c r="K111" i="17"/>
  <c r="L111" i="17"/>
  <c r="O111" i="17"/>
  <c r="P111" i="17"/>
  <c r="S111" i="17"/>
  <c r="T111" i="17"/>
  <c r="W111" i="17"/>
  <c r="X111" i="17"/>
  <c r="Z111" i="17"/>
  <c r="F112" i="17"/>
  <c r="H112" i="17"/>
  <c r="K112" i="17"/>
  <c r="L112" i="17"/>
  <c r="O112" i="17"/>
  <c r="P112" i="17"/>
  <c r="S112" i="17"/>
  <c r="T112" i="17"/>
  <c r="W112" i="17"/>
  <c r="X112" i="17"/>
  <c r="Z112" i="17"/>
  <c r="F113" i="17"/>
  <c r="H113" i="17"/>
  <c r="K113" i="17"/>
  <c r="L113" i="17"/>
  <c r="O113" i="17"/>
  <c r="P113" i="17"/>
  <c r="S113" i="17"/>
  <c r="T113" i="17"/>
  <c r="W113" i="17"/>
  <c r="X113" i="17"/>
  <c r="Z113" i="17"/>
  <c r="F114" i="17"/>
  <c r="H114" i="17"/>
  <c r="K114" i="17"/>
  <c r="L114" i="17"/>
  <c r="O114" i="17"/>
  <c r="P114" i="17"/>
  <c r="S114" i="17"/>
  <c r="T114" i="17"/>
  <c r="W114" i="17"/>
  <c r="X114" i="17"/>
  <c r="Z114" i="17"/>
  <c r="F115" i="17"/>
  <c r="H115" i="17"/>
  <c r="K115" i="17"/>
  <c r="L115" i="17"/>
  <c r="O115" i="17"/>
  <c r="P115" i="17"/>
  <c r="S115" i="17"/>
  <c r="T115" i="17"/>
  <c r="W115" i="17"/>
  <c r="X115" i="17"/>
  <c r="Z115" i="17"/>
  <c r="F116" i="17"/>
  <c r="H116" i="17"/>
  <c r="K116" i="17"/>
  <c r="L116" i="17"/>
  <c r="O116" i="17"/>
  <c r="P116" i="17"/>
  <c r="S116" i="17"/>
  <c r="T116" i="17"/>
  <c r="W116" i="17"/>
  <c r="X116" i="17"/>
  <c r="Z116" i="17"/>
  <c r="F117" i="17"/>
  <c r="H117" i="17"/>
  <c r="K117" i="17"/>
  <c r="L117" i="17"/>
  <c r="O117" i="17"/>
  <c r="P117" i="17"/>
  <c r="S117" i="17"/>
  <c r="T117" i="17"/>
  <c r="W117" i="17"/>
  <c r="X117" i="17"/>
  <c r="Z117" i="17"/>
  <c r="F118" i="17"/>
  <c r="H118" i="17"/>
  <c r="K118" i="17"/>
  <c r="L118" i="17"/>
  <c r="O118" i="17"/>
  <c r="P118" i="17"/>
  <c r="S118" i="17"/>
  <c r="T118" i="17"/>
  <c r="W118" i="17"/>
  <c r="X118" i="17"/>
  <c r="Z118" i="17"/>
  <c r="F119" i="17"/>
  <c r="H119" i="17"/>
  <c r="K119" i="17"/>
  <c r="L119" i="17"/>
  <c r="O119" i="17"/>
  <c r="P119" i="17"/>
  <c r="S119" i="17"/>
  <c r="T119" i="17"/>
  <c r="W119" i="17"/>
  <c r="X119" i="17"/>
  <c r="Z119" i="17"/>
  <c r="F120" i="17"/>
  <c r="H120" i="17"/>
  <c r="K120" i="17"/>
  <c r="L120" i="17"/>
  <c r="O120" i="17"/>
  <c r="P120" i="17"/>
  <c r="S120" i="17"/>
  <c r="T120" i="17"/>
  <c r="W120" i="17"/>
  <c r="X120" i="17"/>
  <c r="Z120" i="17"/>
  <c r="F121" i="17"/>
  <c r="H121" i="17"/>
  <c r="K121" i="17"/>
  <c r="L121" i="17"/>
  <c r="O121" i="17"/>
  <c r="P121" i="17"/>
  <c r="S121" i="17"/>
  <c r="T121" i="17"/>
  <c r="W121" i="17"/>
  <c r="X121" i="17"/>
  <c r="Z121" i="17"/>
  <c r="F122" i="17"/>
  <c r="H122" i="17"/>
  <c r="K122" i="17"/>
  <c r="L122" i="17"/>
  <c r="O122" i="17"/>
  <c r="P122" i="17"/>
  <c r="S122" i="17"/>
  <c r="T122" i="17"/>
  <c r="W122" i="17"/>
  <c r="X122" i="17"/>
  <c r="Z122" i="17"/>
  <c r="F123" i="17"/>
  <c r="H123" i="17"/>
  <c r="K123" i="17"/>
  <c r="L123" i="17"/>
  <c r="O123" i="17"/>
  <c r="P123" i="17"/>
  <c r="S123" i="17"/>
  <c r="T123" i="17"/>
  <c r="W123" i="17"/>
  <c r="X123" i="17"/>
  <c r="Z123" i="17"/>
  <c r="F124" i="17"/>
  <c r="H124" i="17"/>
  <c r="K124" i="17"/>
  <c r="L124" i="17"/>
  <c r="O124" i="17"/>
  <c r="P124" i="17"/>
  <c r="S124" i="17"/>
  <c r="T124" i="17"/>
  <c r="W124" i="17"/>
  <c r="X124" i="17"/>
  <c r="Z124" i="17"/>
  <c r="F125" i="17"/>
  <c r="H125" i="17"/>
  <c r="K125" i="17"/>
  <c r="L125" i="17"/>
  <c r="O125" i="17"/>
  <c r="P125" i="17"/>
  <c r="S125" i="17"/>
  <c r="T125" i="17"/>
  <c r="W125" i="17"/>
  <c r="X125" i="17"/>
  <c r="Z125" i="17"/>
  <c r="F184" i="17"/>
  <c r="F185" i="17"/>
  <c r="F186" i="17"/>
  <c r="F188" i="17"/>
  <c r="F189" i="17"/>
  <c r="F190" i="17"/>
  <c r="F191" i="17"/>
  <c r="F192" i="17"/>
  <c r="Z16" i="17"/>
  <c r="X16" i="17"/>
  <c r="W16" i="17"/>
  <c r="T16" i="17"/>
  <c r="S16" i="17"/>
  <c r="P16" i="17"/>
  <c r="O16" i="17"/>
  <c r="L16" i="17"/>
  <c r="K16" i="17"/>
  <c r="H16" i="17"/>
  <c r="F16" i="17"/>
  <c r="U18" i="9"/>
  <c r="I17" i="17" s="1"/>
  <c r="U236" i="9"/>
  <c r="Y236" i="9" s="1"/>
  <c r="M189" i="17" s="1"/>
  <c r="U237" i="9"/>
  <c r="I190" i="17" s="1"/>
  <c r="U238" i="9"/>
  <c r="I191" i="17" s="1"/>
  <c r="U239" i="9"/>
  <c r="I192" i="17" s="1"/>
  <c r="U235" i="9"/>
  <c r="I188" i="17" s="1"/>
  <c r="U232" i="9"/>
  <c r="I185" i="17" s="1"/>
  <c r="U233" i="9"/>
  <c r="I186" i="17" s="1"/>
  <c r="U231" i="9"/>
  <c r="Y231" i="9" s="1"/>
  <c r="U193" i="9"/>
  <c r="Y193" i="9" s="1"/>
  <c r="U194" i="9"/>
  <c r="I29" i="18" s="1"/>
  <c r="U195" i="9"/>
  <c r="U192" i="9"/>
  <c r="I27" i="18" s="1"/>
  <c r="U190" i="9"/>
  <c r="Y190" i="9" s="1"/>
  <c r="U191" i="9"/>
  <c r="Y191" i="9" s="1"/>
  <c r="U186" i="9"/>
  <c r="Y186" i="9" s="1"/>
  <c r="I17" i="27"/>
  <c r="Y178" i="9"/>
  <c r="M22" i="24" s="1"/>
  <c r="U179" i="9"/>
  <c r="I30" i="21"/>
  <c r="U171" i="9"/>
  <c r="I17" i="24" s="1"/>
  <c r="U172" i="9"/>
  <c r="Y172" i="9" s="1"/>
  <c r="AC172" i="9" s="1"/>
  <c r="U173" i="9"/>
  <c r="I19" i="24" s="1"/>
  <c r="I28" i="21"/>
  <c r="U165" i="9"/>
  <c r="I146" i="17" s="1"/>
  <c r="U166" i="9"/>
  <c r="I147" i="17" s="1"/>
  <c r="U167" i="9"/>
  <c r="I148" i="17" s="1"/>
  <c r="U164" i="9"/>
  <c r="I145" i="17" s="1"/>
  <c r="U163" i="9"/>
  <c r="U162" i="9"/>
  <c r="U161" i="9"/>
  <c r="I142" i="17" s="1"/>
  <c r="U126" i="9"/>
  <c r="I107" i="17" s="1"/>
  <c r="U127" i="9"/>
  <c r="I108" i="17" s="1"/>
  <c r="U128" i="9"/>
  <c r="I109" i="17" s="1"/>
  <c r="U129" i="9"/>
  <c r="U130" i="9"/>
  <c r="I111" i="17" s="1"/>
  <c r="U131" i="9"/>
  <c r="I112" i="17" s="1"/>
  <c r="U132" i="9"/>
  <c r="I113" i="17" s="1"/>
  <c r="U133" i="9"/>
  <c r="U134" i="9"/>
  <c r="Y134" i="9" s="1"/>
  <c r="U135" i="9"/>
  <c r="I116" i="17" s="1"/>
  <c r="U136" i="9"/>
  <c r="I117" i="17" s="1"/>
  <c r="U137" i="9"/>
  <c r="U138" i="9"/>
  <c r="I119" i="17" s="1"/>
  <c r="U139" i="9"/>
  <c r="I120" i="17" s="1"/>
  <c r="U140" i="9"/>
  <c r="I121" i="17" s="1"/>
  <c r="U141" i="9"/>
  <c r="U142" i="9"/>
  <c r="I123" i="17" s="1"/>
  <c r="U143" i="9"/>
  <c r="I124" i="17" s="1"/>
  <c r="U144" i="9"/>
  <c r="I125" i="17" s="1"/>
  <c r="U125" i="9"/>
  <c r="I106" i="17" s="1"/>
  <c r="U116" i="9"/>
  <c r="I16" i="19" s="1"/>
  <c r="U96" i="9"/>
  <c r="Y96" i="9" s="1"/>
  <c r="M86" i="17" s="1"/>
  <c r="U98" i="9"/>
  <c r="Y98" i="9" s="1"/>
  <c r="U84" i="9"/>
  <c r="I17" i="20" s="1"/>
  <c r="U85" i="9"/>
  <c r="U88" i="9"/>
  <c r="I21" i="20" s="1"/>
  <c r="U82" i="9"/>
  <c r="I16" i="20" s="1"/>
  <c r="U66" i="9"/>
  <c r="I65" i="17" s="1"/>
  <c r="U76" i="9"/>
  <c r="I73" i="17" s="1"/>
  <c r="U77" i="9"/>
  <c r="U78" i="9"/>
  <c r="I75" i="17" s="1"/>
  <c r="U79" i="9"/>
  <c r="I76" i="17" s="1"/>
  <c r="U80" i="9"/>
  <c r="Y80" i="9" s="1"/>
  <c r="U75" i="9"/>
  <c r="I72" i="17" s="1"/>
  <c r="U67" i="9"/>
  <c r="I66" i="17" s="1"/>
  <c r="U68" i="9"/>
  <c r="I67" i="17" s="1"/>
  <c r="U69" i="9"/>
  <c r="I68" i="17" s="1"/>
  <c r="U70" i="9"/>
  <c r="U71" i="9"/>
  <c r="I70" i="17" s="1"/>
  <c r="U19" i="9"/>
  <c r="I18" i="17" s="1"/>
  <c r="U17" i="9"/>
  <c r="Y177" i="9"/>
  <c r="M21" i="24" s="1"/>
  <c r="F30" i="10"/>
  <c r="F33" i="10"/>
  <c r="F22" i="20"/>
  <c r="U89" i="9"/>
  <c r="Y89" i="9" s="1"/>
  <c r="U91" i="9"/>
  <c r="Y91" i="9" s="1"/>
  <c r="M81" i="17" s="1"/>
  <c r="F81" i="17"/>
  <c r="F20" i="20"/>
  <c r="U87" i="9"/>
  <c r="G234" i="9" l="1"/>
  <c r="G22" i="9"/>
  <c r="G21" i="17" s="1"/>
  <c r="AK22" i="9"/>
  <c r="Y21" i="17" s="1"/>
  <c r="V22" i="9"/>
  <c r="Z22" i="9"/>
  <c r="AD22" i="9"/>
  <c r="AH22" i="9"/>
  <c r="V55" i="9"/>
  <c r="J54" i="17" s="1"/>
  <c r="AK55" i="9"/>
  <c r="Y54" i="17" s="1"/>
  <c r="Z55" i="9"/>
  <c r="AD55" i="9"/>
  <c r="AH55" i="9"/>
  <c r="G54" i="9"/>
  <c r="G53" i="17" s="1"/>
  <c r="AK54" i="9"/>
  <c r="Y53" i="17" s="1"/>
  <c r="V54" i="9"/>
  <c r="J53" i="17" s="1"/>
  <c r="Z54" i="9"/>
  <c r="AD54" i="9"/>
  <c r="AH54" i="9"/>
  <c r="K87" i="23"/>
  <c r="G30" i="21"/>
  <c r="I180" i="9"/>
  <c r="I246" i="9" s="1"/>
  <c r="G74" i="9"/>
  <c r="G16" i="21"/>
  <c r="O65" i="9"/>
  <c r="N93" i="23"/>
  <c r="O93" i="23" s="1"/>
  <c r="G124" i="9"/>
  <c r="G192" i="17"/>
  <c r="G185" i="17"/>
  <c r="G230" i="9"/>
  <c r="G70" i="17"/>
  <c r="G65" i="9"/>
  <c r="G22" i="24"/>
  <c r="S174" i="9"/>
  <c r="G17" i="24"/>
  <c r="S169" i="9"/>
  <c r="K35" i="23"/>
  <c r="N35" i="23"/>
  <c r="G16" i="19"/>
  <c r="K115" i="9"/>
  <c r="K246" i="9" s="1"/>
  <c r="Y88" i="9"/>
  <c r="M21" i="20" s="1"/>
  <c r="Y232" i="9"/>
  <c r="M185" i="17" s="1"/>
  <c r="Y237" i="9"/>
  <c r="M190" i="17" s="1"/>
  <c r="Y238" i="9"/>
  <c r="M191" i="17" s="1"/>
  <c r="Y166" i="9"/>
  <c r="AC166" i="9" s="1"/>
  <c r="AD166" i="9" s="1"/>
  <c r="R147" i="17" s="1"/>
  <c r="V17" i="9"/>
  <c r="J16" i="17" s="1"/>
  <c r="AK138" i="9"/>
  <c r="Y119" i="17" s="1"/>
  <c r="Y144" i="9"/>
  <c r="Z144" i="9" s="1"/>
  <c r="N125" i="17" s="1"/>
  <c r="AK130" i="9"/>
  <c r="Y111" i="17" s="1"/>
  <c r="Y140" i="9"/>
  <c r="M121" i="17" s="1"/>
  <c r="Y76" i="9"/>
  <c r="AC76" i="9" s="1"/>
  <c r="AG76" i="9" s="1"/>
  <c r="Y19" i="9"/>
  <c r="M18" i="17" s="1"/>
  <c r="Y69" i="9"/>
  <c r="AC69" i="9" s="1"/>
  <c r="AG69" i="9" s="1"/>
  <c r="AH69" i="9" s="1"/>
  <c r="V68" i="17" s="1"/>
  <c r="Y192" i="9"/>
  <c r="M27" i="18" s="1"/>
  <c r="G21" i="24"/>
  <c r="V176" i="9"/>
  <c r="J31" i="21" s="1"/>
  <c r="O176" i="9"/>
  <c r="G31" i="21" s="1"/>
  <c r="AK176" i="9"/>
  <c r="Y31" i="21" s="1"/>
  <c r="G72" i="17"/>
  <c r="G65" i="17"/>
  <c r="G125" i="17"/>
  <c r="L23" i="22"/>
  <c r="G17" i="21"/>
  <c r="G28" i="21"/>
  <c r="F152" i="23"/>
  <c r="H152" i="23" s="1"/>
  <c r="U92" i="9"/>
  <c r="Y126" i="9"/>
  <c r="AC126" i="9" s="1"/>
  <c r="Y130" i="9"/>
  <c r="Z130" i="9" s="1"/>
  <c r="N111" i="17" s="1"/>
  <c r="I28" i="18"/>
  <c r="G188" i="17"/>
  <c r="Y173" i="9"/>
  <c r="AC173" i="9" s="1"/>
  <c r="AG173" i="9" s="1"/>
  <c r="I18" i="24"/>
  <c r="I21" i="27"/>
  <c r="Y132" i="9"/>
  <c r="AC132" i="9" s="1"/>
  <c r="AG132" i="9" s="1"/>
  <c r="AH132" i="9" s="1"/>
  <c r="V113" i="17" s="1"/>
  <c r="Y66" i="9"/>
  <c r="AC66" i="9" s="1"/>
  <c r="Y68" i="9"/>
  <c r="Z68" i="9" s="1"/>
  <c r="N67" i="17" s="1"/>
  <c r="G57" i="17"/>
  <c r="G16" i="17"/>
  <c r="G161" i="9"/>
  <c r="E142" i="17"/>
  <c r="O163" i="9"/>
  <c r="E144" i="17"/>
  <c r="O162" i="9"/>
  <c r="E143" i="17"/>
  <c r="G167" i="9"/>
  <c r="G148" i="17" s="1"/>
  <c r="E148" i="17"/>
  <c r="G166" i="9"/>
  <c r="G147" i="17" s="1"/>
  <c r="E147" i="17"/>
  <c r="G165" i="9"/>
  <c r="G146" i="17" s="1"/>
  <c r="E146" i="17"/>
  <c r="G164" i="9"/>
  <c r="G145" i="17" s="1"/>
  <c r="E145" i="17"/>
  <c r="Y14" i="18"/>
  <c r="N14" i="18"/>
  <c r="J14" i="18"/>
  <c r="R14" i="18"/>
  <c r="V14" i="18"/>
  <c r="Y14" i="20"/>
  <c r="G14" i="20"/>
  <c r="N14" i="20"/>
  <c r="J14" i="20"/>
  <c r="R14" i="20"/>
  <c r="V14" i="20"/>
  <c r="G14" i="27"/>
  <c r="R14" i="27"/>
  <c r="N14" i="27"/>
  <c r="J14" i="27"/>
  <c r="Y14" i="27"/>
  <c r="V14" i="27"/>
  <c r="Y14" i="21"/>
  <c r="G14" i="21"/>
  <c r="N14" i="21"/>
  <c r="J14" i="21"/>
  <c r="R14" i="21"/>
  <c r="V14" i="21"/>
  <c r="G14" i="19"/>
  <c r="Y14" i="19"/>
  <c r="N14" i="19"/>
  <c r="J14" i="19"/>
  <c r="R14" i="19"/>
  <c r="V14" i="19"/>
  <c r="AK137" i="9"/>
  <c r="Y118" i="17" s="1"/>
  <c r="Y14" i="24"/>
  <c r="G14" i="24"/>
  <c r="N14" i="24"/>
  <c r="J14" i="24"/>
  <c r="R14" i="24"/>
  <c r="V14" i="24"/>
  <c r="AK239" i="9"/>
  <c r="Y192" i="17" s="1"/>
  <c r="AK78" i="9"/>
  <c r="Y75" i="17" s="1"/>
  <c r="G111" i="9"/>
  <c r="G101" i="17" s="1"/>
  <c r="AH111" i="9"/>
  <c r="AK111" i="9"/>
  <c r="AD111" i="9"/>
  <c r="Z111" i="9"/>
  <c r="V111" i="9"/>
  <c r="G110" i="9"/>
  <c r="G100" i="17" s="1"/>
  <c r="AK110" i="9"/>
  <c r="Y100" i="17" s="1"/>
  <c r="V110" i="9"/>
  <c r="J100" i="17" s="1"/>
  <c r="Z110" i="9"/>
  <c r="N100" i="17" s="1"/>
  <c r="AD110" i="9"/>
  <c r="R100" i="17" s="1"/>
  <c r="AH110" i="9"/>
  <c r="V100" i="17" s="1"/>
  <c r="G27" i="18"/>
  <c r="G109" i="9"/>
  <c r="G99" i="17" s="1"/>
  <c r="AK109" i="9"/>
  <c r="V109" i="9"/>
  <c r="Z109" i="9"/>
  <c r="AD109" i="9"/>
  <c r="AH109" i="9"/>
  <c r="N47" i="23"/>
  <c r="R47" i="23" s="1"/>
  <c r="V47" i="23" s="1"/>
  <c r="W47" i="23" s="1"/>
  <c r="K169" i="23"/>
  <c r="AK89" i="9"/>
  <c r="Y22" i="20" s="1"/>
  <c r="V163" i="9"/>
  <c r="J21" i="21" s="1"/>
  <c r="AK76" i="9"/>
  <c r="Y73" i="17" s="1"/>
  <c r="V166" i="9"/>
  <c r="J147" i="17" s="1"/>
  <c r="AK163" i="9"/>
  <c r="Y21" i="21" s="1"/>
  <c r="V195" i="9"/>
  <c r="J30" i="18" s="1"/>
  <c r="V165" i="9"/>
  <c r="J146" i="17" s="1"/>
  <c r="AK82" i="9"/>
  <c r="Y16" i="20" s="1"/>
  <c r="G106" i="17"/>
  <c r="AK143" i="9"/>
  <c r="Y124" i="17" s="1"/>
  <c r="Q182" i="9"/>
  <c r="G17" i="27" s="1"/>
  <c r="V182" i="9"/>
  <c r="J17" i="27" s="1"/>
  <c r="Y182" i="9"/>
  <c r="M17" i="27" s="1"/>
  <c r="AK178" i="9"/>
  <c r="Y22" i="24" s="1"/>
  <c r="V173" i="9"/>
  <c r="J19" i="24" s="1"/>
  <c r="AK194" i="9"/>
  <c r="Y29" i="18" s="1"/>
  <c r="V237" i="9"/>
  <c r="J190" i="17" s="1"/>
  <c r="AK142" i="9"/>
  <c r="Y123" i="17" s="1"/>
  <c r="AK166" i="9"/>
  <c r="Y147" i="17" s="1"/>
  <c r="V58" i="9"/>
  <c r="J57" i="17" s="1"/>
  <c r="V66" i="9"/>
  <c r="J65" i="17" s="1"/>
  <c r="AK66" i="9"/>
  <c r="Y65" i="17" s="1"/>
  <c r="Z178" i="9"/>
  <c r="N22" i="24" s="1"/>
  <c r="AK165" i="9"/>
  <c r="Y146" i="17" s="1"/>
  <c r="AK173" i="9"/>
  <c r="Y19" i="24" s="1"/>
  <c r="V87" i="9"/>
  <c r="J20" i="20" s="1"/>
  <c r="AK237" i="9"/>
  <c r="Y190" i="17" s="1"/>
  <c r="V76" i="9"/>
  <c r="J73" i="17" s="1"/>
  <c r="V178" i="9"/>
  <c r="J22" i="24" s="1"/>
  <c r="AK195" i="9"/>
  <c r="Y30" i="18" s="1"/>
  <c r="AK126" i="9"/>
  <c r="Y107" i="17" s="1"/>
  <c r="Y16" i="27"/>
  <c r="V238" i="9"/>
  <c r="J191" i="17" s="1"/>
  <c r="AK162" i="9"/>
  <c r="Y20" i="21" s="1"/>
  <c r="F6" i="24"/>
  <c r="F6" i="21"/>
  <c r="F6" i="19"/>
  <c r="G5" i="23"/>
  <c r="F6" i="27"/>
  <c r="F6" i="20"/>
  <c r="F6" i="18"/>
  <c r="Y139" i="9"/>
  <c r="M120" i="17" s="1"/>
  <c r="Y239" i="9"/>
  <c r="AC239" i="9" s="1"/>
  <c r="AD239" i="9" s="1"/>
  <c r="R192" i="17" s="1"/>
  <c r="Y131" i="9"/>
  <c r="M112" i="17" s="1"/>
  <c r="AK136" i="9"/>
  <c r="Y117" i="17" s="1"/>
  <c r="AK96" i="9"/>
  <c r="Y86" i="17" s="1"/>
  <c r="Y143" i="9"/>
  <c r="AK167" i="9"/>
  <c r="Y148" i="17" s="1"/>
  <c r="AK128" i="9"/>
  <c r="Y109" i="17" s="1"/>
  <c r="V128" i="9"/>
  <c r="J109" i="17" s="1"/>
  <c r="V143" i="9"/>
  <c r="J124" i="17" s="1"/>
  <c r="AK238" i="9"/>
  <c r="Y191" i="17" s="1"/>
  <c r="AK144" i="9"/>
  <c r="Y125" i="17" s="1"/>
  <c r="V239" i="9"/>
  <c r="J192" i="17" s="1"/>
  <c r="N207" i="23"/>
  <c r="R207" i="23" s="1"/>
  <c r="V207" i="23" s="1"/>
  <c r="W207" i="23" s="1"/>
  <c r="K206" i="23"/>
  <c r="F146" i="23"/>
  <c r="J146" i="23" s="1"/>
  <c r="N146" i="23" s="1"/>
  <c r="R146" i="23" s="1"/>
  <c r="K255" i="23"/>
  <c r="N59" i="23"/>
  <c r="R59" i="23" s="1"/>
  <c r="S59" i="23" s="1"/>
  <c r="N46" i="23"/>
  <c r="R46" i="23" s="1"/>
  <c r="S46" i="23" s="1"/>
  <c r="N140" i="23"/>
  <c r="O140" i="23" s="1"/>
  <c r="N85" i="23"/>
  <c r="O85" i="23" s="1"/>
  <c r="K139" i="23"/>
  <c r="N134" i="23"/>
  <c r="O134" i="23" s="1"/>
  <c r="N61" i="23"/>
  <c r="O61" i="23" s="1"/>
  <c r="K48" i="23"/>
  <c r="M77" i="17"/>
  <c r="AC80" i="9"/>
  <c r="AD80" i="9" s="1"/>
  <c r="Y75" i="9"/>
  <c r="AC75" i="9" s="1"/>
  <c r="V144" i="9"/>
  <c r="J125" i="17" s="1"/>
  <c r="I26" i="27"/>
  <c r="I57" i="17"/>
  <c r="Y18" i="9"/>
  <c r="M17" i="17" s="1"/>
  <c r="Y171" i="9"/>
  <c r="M17" i="24" s="1"/>
  <c r="F144" i="23"/>
  <c r="F104" i="9"/>
  <c r="F94" i="17" s="1"/>
  <c r="F145" i="23"/>
  <c r="J145" i="23" s="1"/>
  <c r="AK58" i="9"/>
  <c r="Y57" i="17" s="1"/>
  <c r="AC134" i="9"/>
  <c r="AG134" i="9" s="1"/>
  <c r="M115" i="17"/>
  <c r="M21" i="27"/>
  <c r="AC186" i="9"/>
  <c r="Q21" i="27" s="1"/>
  <c r="I189" i="17"/>
  <c r="Y194" i="9"/>
  <c r="M86" i="9"/>
  <c r="G19" i="20" s="1"/>
  <c r="V136" i="9"/>
  <c r="J117" i="17" s="1"/>
  <c r="Y79" i="9"/>
  <c r="M76" i="17" s="1"/>
  <c r="Y138" i="9"/>
  <c r="AC138" i="9" s="1"/>
  <c r="I115" i="17"/>
  <c r="AK17" i="9"/>
  <c r="Y16" i="17" s="1"/>
  <c r="AK70" i="9"/>
  <c r="Y69" i="17" s="1"/>
  <c r="I16" i="17"/>
  <c r="Y235" i="9"/>
  <c r="M188" i="17" s="1"/>
  <c r="I34" i="21"/>
  <c r="Y165" i="9"/>
  <c r="Z165" i="9" s="1"/>
  <c r="N146" i="17" s="1"/>
  <c r="I77" i="17"/>
  <c r="V126" i="9"/>
  <c r="J107" i="17" s="1"/>
  <c r="Y164" i="9"/>
  <c r="M145" i="17" s="1"/>
  <c r="V138" i="9"/>
  <c r="J119" i="17" s="1"/>
  <c r="V194" i="9"/>
  <c r="J29" i="18" s="1"/>
  <c r="C4" i="20"/>
  <c r="C4" i="19"/>
  <c r="C4" i="18"/>
  <c r="C4" i="21"/>
  <c r="Y233" i="9"/>
  <c r="Z233" i="9" s="1"/>
  <c r="N186" i="17" s="1"/>
  <c r="M184" i="17"/>
  <c r="AC231" i="9"/>
  <c r="AD231" i="9" s="1"/>
  <c r="R184" i="17" s="1"/>
  <c r="C4" i="24"/>
  <c r="AK133" i="9"/>
  <c r="Y114" i="17" s="1"/>
  <c r="AK193" i="9"/>
  <c r="Y28" i="18" s="1"/>
  <c r="AK190" i="9"/>
  <c r="Y25" i="27" s="1"/>
  <c r="V172" i="9"/>
  <c r="J18" i="24" s="1"/>
  <c r="V193" i="9"/>
  <c r="J28" i="18" s="1"/>
  <c r="AD172" i="9"/>
  <c r="R18" i="24" s="1"/>
  <c r="Z172" i="9"/>
  <c r="N18" i="24" s="1"/>
  <c r="AK172" i="9"/>
  <c r="Y18" i="24" s="1"/>
  <c r="G108" i="9"/>
  <c r="G81" i="17"/>
  <c r="V80" i="9"/>
  <c r="B2" i="9"/>
  <c r="V18" i="9"/>
  <c r="J17" i="17" s="1"/>
  <c r="V131" i="9"/>
  <c r="J112" i="17" s="1"/>
  <c r="AK18" i="9"/>
  <c r="Y17" i="17" s="1"/>
  <c r="V132" i="9"/>
  <c r="J113" i="17" s="1"/>
  <c r="V140" i="9"/>
  <c r="J121" i="17" s="1"/>
  <c r="V161" i="9"/>
  <c r="J142" i="17" s="1"/>
  <c r="F103" i="9"/>
  <c r="F93" i="17" s="1"/>
  <c r="I86" i="17"/>
  <c r="V96" i="9"/>
  <c r="J86" i="17" s="1"/>
  <c r="Y161" i="9"/>
  <c r="I97" i="17"/>
  <c r="Z96" i="9"/>
  <c r="N86" i="17" s="1"/>
  <c r="I101" i="17"/>
  <c r="O139" i="23"/>
  <c r="R139" i="23"/>
  <c r="S139" i="23" s="1"/>
  <c r="K204" i="23"/>
  <c r="N89" i="23"/>
  <c r="O89" i="23" s="1"/>
  <c r="N254" i="23"/>
  <c r="R254" i="23" s="1"/>
  <c r="S254" i="23" s="1"/>
  <c r="R87" i="23"/>
  <c r="V87" i="23" s="1"/>
  <c r="W87" i="23" s="1"/>
  <c r="O87" i="23"/>
  <c r="R160" i="23"/>
  <c r="S160" i="23" s="1"/>
  <c r="O160" i="23"/>
  <c r="K176" i="23"/>
  <c r="R206" i="23"/>
  <c r="N256" i="23"/>
  <c r="R256" i="23" s="1"/>
  <c r="S256" i="23" s="1"/>
  <c r="K92" i="23"/>
  <c r="K160" i="23"/>
  <c r="N154" i="23"/>
  <c r="K150" i="23"/>
  <c r="K166" i="23"/>
  <c r="R169" i="23"/>
  <c r="S169" i="23" s="1"/>
  <c r="N168" i="23"/>
  <c r="O168" i="23" s="1"/>
  <c r="N137" i="23"/>
  <c r="K58" i="23"/>
  <c r="N60" i="23"/>
  <c r="O60" i="23" s="1"/>
  <c r="N94" i="23"/>
  <c r="N43" i="23"/>
  <c r="N173" i="23"/>
  <c r="O173" i="23" s="1"/>
  <c r="N162" i="23"/>
  <c r="O162" i="23" s="1"/>
  <c r="K156" i="23"/>
  <c r="O58" i="23"/>
  <c r="K164" i="23"/>
  <c r="G14" i="17"/>
  <c r="N12" i="23"/>
  <c r="K12" i="23"/>
  <c r="N13" i="23"/>
  <c r="K13" i="23"/>
  <c r="I11" i="15"/>
  <c r="I10" i="15"/>
  <c r="I12" i="15"/>
  <c r="V164" i="9"/>
  <c r="J145" i="17" s="1"/>
  <c r="AK164" i="9"/>
  <c r="Y145" i="17" s="1"/>
  <c r="V192" i="9"/>
  <c r="J27" i="18" s="1"/>
  <c r="AK192" i="9"/>
  <c r="Y27" i="18" s="1"/>
  <c r="AK175" i="9"/>
  <c r="Y30" i="21" s="1"/>
  <c r="V235" i="9"/>
  <c r="J188" i="17" s="1"/>
  <c r="AK125" i="9"/>
  <c r="Y106" i="17" s="1"/>
  <c r="V170" i="9"/>
  <c r="AK170" i="9"/>
  <c r="Y28" i="21" s="1"/>
  <c r="V175" i="9"/>
  <c r="J30" i="21" s="1"/>
  <c r="AK235" i="9"/>
  <c r="Y188" i="17" s="1"/>
  <c r="E18" i="20"/>
  <c r="AK72" i="9"/>
  <c r="Y16" i="21" s="1"/>
  <c r="AK132" i="9"/>
  <c r="Y113" i="17" s="1"/>
  <c r="V233" i="9"/>
  <c r="J186" i="17" s="1"/>
  <c r="AK140" i="9"/>
  <c r="Y121" i="17" s="1"/>
  <c r="AK84" i="9"/>
  <c r="Y17" i="20" s="1"/>
  <c r="AK233" i="9"/>
  <c r="Y186" i="17" s="1"/>
  <c r="AK80" i="9"/>
  <c r="V139" i="9"/>
  <c r="J120" i="17" s="1"/>
  <c r="AK19" i="9"/>
  <c r="Y18" i="17" s="1"/>
  <c r="V179" i="9"/>
  <c r="Z231" i="9"/>
  <c r="N184" i="17" s="1"/>
  <c r="V231" i="9"/>
  <c r="J184" i="17" s="1"/>
  <c r="AK231" i="9"/>
  <c r="Y184" i="17" s="1"/>
  <c r="AK131" i="9"/>
  <c r="Y112" i="17" s="1"/>
  <c r="V88" i="9"/>
  <c r="J21" i="20" s="1"/>
  <c r="AK179" i="9"/>
  <c r="AK139" i="9"/>
  <c r="Y120" i="17" s="1"/>
  <c r="AK88" i="9"/>
  <c r="Y21" i="20" s="1"/>
  <c r="AK71" i="9"/>
  <c r="Y70" i="17" s="1"/>
  <c r="Z80" i="9"/>
  <c r="AK64" i="9"/>
  <c r="Y63" i="17" s="1"/>
  <c r="Z19" i="9"/>
  <c r="N18" i="17" s="1"/>
  <c r="AK232" i="9"/>
  <c r="Y185" i="17" s="1"/>
  <c r="AK77" i="9"/>
  <c r="Y74" i="17" s="1"/>
  <c r="V64" i="9"/>
  <c r="J63" i="17" s="1"/>
  <c r="AK62" i="9"/>
  <c r="Y61" i="17" s="1"/>
  <c r="V19" i="9"/>
  <c r="J18" i="17" s="1"/>
  <c r="V68" i="9"/>
  <c r="J67" i="17" s="1"/>
  <c r="V177" i="9"/>
  <c r="J21" i="24" s="1"/>
  <c r="AK161" i="9"/>
  <c r="Y142" i="17" s="1"/>
  <c r="AK127" i="9"/>
  <c r="Y108" i="17" s="1"/>
  <c r="V134" i="9"/>
  <c r="J115" i="17" s="1"/>
  <c r="AK134" i="9"/>
  <c r="Y115" i="17" s="1"/>
  <c r="V232" i="9"/>
  <c r="J185" i="17" s="1"/>
  <c r="AK68" i="9"/>
  <c r="Y67" i="17" s="1"/>
  <c r="AK177" i="9"/>
  <c r="Y21" i="24" s="1"/>
  <c r="AK141" i="9"/>
  <c r="Y122" i="17" s="1"/>
  <c r="M85" i="9"/>
  <c r="AK85" i="9"/>
  <c r="Y18" i="20" s="1"/>
  <c r="Z236" i="9"/>
  <c r="N189" i="17" s="1"/>
  <c r="V79" i="9"/>
  <c r="J76" i="17" s="1"/>
  <c r="AK236" i="9"/>
  <c r="Y189" i="17" s="1"/>
  <c r="AK60" i="9"/>
  <c r="Y59" i="17" s="1"/>
  <c r="G59" i="9"/>
  <c r="G58" i="17" s="1"/>
  <c r="G107" i="9"/>
  <c r="G97" i="17" s="1"/>
  <c r="V186" i="9"/>
  <c r="J21" i="27" s="1"/>
  <c r="AK79" i="9"/>
  <c r="Y76" i="17" s="1"/>
  <c r="V73" i="9"/>
  <c r="J17" i="21" s="1"/>
  <c r="AK67" i="9"/>
  <c r="Y66" i="17" s="1"/>
  <c r="V236" i="9"/>
  <c r="J189" i="17" s="1"/>
  <c r="Z186" i="9"/>
  <c r="N21" i="27" s="1"/>
  <c r="AK186" i="9"/>
  <c r="Y21" i="27" s="1"/>
  <c r="AK135" i="9"/>
  <c r="Y116" i="17" s="1"/>
  <c r="V67" i="9"/>
  <c r="J66" i="17" s="1"/>
  <c r="V129" i="9"/>
  <c r="J110" i="17" s="1"/>
  <c r="AK98" i="9"/>
  <c r="Y88" i="17" s="1"/>
  <c r="AK86" i="9"/>
  <c r="Y19" i="20" s="1"/>
  <c r="AK73" i="9"/>
  <c r="Y17" i="21" s="1"/>
  <c r="V59" i="9"/>
  <c r="J58" i="17" s="1"/>
  <c r="AK63" i="9"/>
  <c r="Y62" i="17" s="1"/>
  <c r="AK75" i="9"/>
  <c r="Y72" i="17" s="1"/>
  <c r="AK191" i="9"/>
  <c r="Y26" i="27" s="1"/>
  <c r="AK182" i="9"/>
  <c r="Y17" i="27" s="1"/>
  <c r="AK129" i="9"/>
  <c r="Y110" i="17" s="1"/>
  <c r="V69" i="9"/>
  <c r="J68" i="17" s="1"/>
  <c r="V171" i="9"/>
  <c r="J17" i="24" s="1"/>
  <c r="AK171" i="9"/>
  <c r="Y17" i="24" s="1"/>
  <c r="Z75" i="9"/>
  <c r="N72" i="17" s="1"/>
  <c r="AK116" i="9"/>
  <c r="Y16" i="19" s="1"/>
  <c r="AK91" i="9"/>
  <c r="Y81" i="17" s="1"/>
  <c r="V75" i="9"/>
  <c r="J72" i="17" s="1"/>
  <c r="V85" i="9"/>
  <c r="J18" i="20" s="1"/>
  <c r="AD75" i="9"/>
  <c r="R72" i="17" s="1"/>
  <c r="V191" i="9"/>
  <c r="J26" i="27" s="1"/>
  <c r="AK69" i="9"/>
  <c r="Y68" i="17" s="1"/>
  <c r="Q187" i="9"/>
  <c r="G22" i="27" s="1"/>
  <c r="G186" i="17"/>
  <c r="AK61" i="9"/>
  <c r="Y60" i="17" s="1"/>
  <c r="G55" i="9"/>
  <c r="G54" i="17" s="1"/>
  <c r="G97" i="9"/>
  <c r="G87" i="17" s="1"/>
  <c r="M87" i="9"/>
  <c r="G20" i="20" s="1"/>
  <c r="Z238" i="9"/>
  <c r="N191" i="17" s="1"/>
  <c r="Y17" i="9"/>
  <c r="M16" i="17" s="1"/>
  <c r="V116" i="9"/>
  <c r="J16" i="19" s="1"/>
  <c r="V167" i="9"/>
  <c r="J148" i="17" s="1"/>
  <c r="Y116" i="9"/>
  <c r="M16" i="19" s="1"/>
  <c r="Y195" i="9"/>
  <c r="I30" i="18"/>
  <c r="I184" i="17"/>
  <c r="Y82" i="9"/>
  <c r="Y167" i="9"/>
  <c r="Y125" i="9"/>
  <c r="M106" i="17" s="1"/>
  <c r="V125" i="9"/>
  <c r="J106" i="17" s="1"/>
  <c r="Y59" i="9"/>
  <c r="M58" i="17" s="1"/>
  <c r="O14" i="9"/>
  <c r="V107" i="9"/>
  <c r="J97" i="17" s="1"/>
  <c r="M18" i="24"/>
  <c r="Y67" i="9"/>
  <c r="Z67" i="9" s="1"/>
  <c r="N66" i="17" s="1"/>
  <c r="V127" i="9"/>
  <c r="J108" i="17" s="1"/>
  <c r="Y127" i="9"/>
  <c r="V82" i="9"/>
  <c r="J16" i="20" s="1"/>
  <c r="Z191" i="9"/>
  <c r="N26" i="27" s="1"/>
  <c r="M26" i="27"/>
  <c r="AC191" i="9"/>
  <c r="AC190" i="9"/>
  <c r="AD190" i="9" s="1"/>
  <c r="R25" i="27" s="1"/>
  <c r="Z190" i="9"/>
  <c r="N25" i="27" s="1"/>
  <c r="M25" i="27"/>
  <c r="M97" i="17"/>
  <c r="Z107" i="9"/>
  <c r="N97" i="17" s="1"/>
  <c r="AC107" i="9"/>
  <c r="AG107" i="9" s="1"/>
  <c r="AC236" i="9"/>
  <c r="Y163" i="9"/>
  <c r="V135" i="9"/>
  <c r="J116" i="17" s="1"/>
  <c r="Y72" i="9"/>
  <c r="M16" i="21" s="1"/>
  <c r="Y142" i="9"/>
  <c r="AC142" i="9" s="1"/>
  <c r="AD142" i="9" s="1"/>
  <c r="R123" i="17" s="1"/>
  <c r="AC96" i="9"/>
  <c r="Z134" i="9"/>
  <c r="N115" i="17" s="1"/>
  <c r="I21" i="21"/>
  <c r="V142" i="9"/>
  <c r="J123" i="17" s="1"/>
  <c r="Y84" i="9"/>
  <c r="V190" i="9"/>
  <c r="J25" i="27" s="1"/>
  <c r="V130" i="9"/>
  <c r="J111" i="17" s="1"/>
  <c r="U86" i="9"/>
  <c r="Z126" i="9"/>
  <c r="N107" i="17" s="1"/>
  <c r="Y136" i="9"/>
  <c r="V84" i="9"/>
  <c r="J17" i="20" s="1"/>
  <c r="Y78" i="9"/>
  <c r="I25" i="27"/>
  <c r="Y63" i="9"/>
  <c r="Z63" i="9" s="1"/>
  <c r="N62" i="17" s="1"/>
  <c r="M107" i="17"/>
  <c r="Y170" i="9"/>
  <c r="M28" i="21" s="1"/>
  <c r="V72" i="9"/>
  <c r="J16" i="21" s="1"/>
  <c r="Y71" i="9"/>
  <c r="V78" i="9"/>
  <c r="J75" i="17" s="1"/>
  <c r="Y179" i="9"/>
  <c r="AC179" i="9" s="1"/>
  <c r="Y135" i="9"/>
  <c r="Y128" i="9"/>
  <c r="Z128" i="9" s="1"/>
  <c r="N109" i="17" s="1"/>
  <c r="V71" i="9"/>
  <c r="J70" i="17" s="1"/>
  <c r="Y175" i="9"/>
  <c r="V63" i="9"/>
  <c r="J62" i="17" s="1"/>
  <c r="I114" i="17"/>
  <c r="V133" i="9"/>
  <c r="J114" i="17" s="1"/>
  <c r="Y133" i="9"/>
  <c r="G191" i="17"/>
  <c r="I118" i="17"/>
  <c r="V137" i="9"/>
  <c r="J118" i="17" s="1"/>
  <c r="Y137" i="9"/>
  <c r="I20" i="21"/>
  <c r="Y162" i="9"/>
  <c r="M88" i="17"/>
  <c r="Z98" i="9"/>
  <c r="N88" i="17" s="1"/>
  <c r="AC98" i="9"/>
  <c r="AD126" i="9"/>
  <c r="R107" i="17" s="1"/>
  <c r="Q107" i="17"/>
  <c r="AG126" i="9"/>
  <c r="AC177" i="9"/>
  <c r="Q21" i="24" s="1"/>
  <c r="Z177" i="9"/>
  <c r="N21" i="24" s="1"/>
  <c r="M28" i="18"/>
  <c r="AC193" i="9"/>
  <c r="Q28" i="18" s="1"/>
  <c r="Z193" i="9"/>
  <c r="N28" i="18" s="1"/>
  <c r="I110" i="17"/>
  <c r="Y129" i="9"/>
  <c r="I69" i="17"/>
  <c r="Y70" i="9"/>
  <c r="V70" i="9"/>
  <c r="J69" i="17" s="1"/>
  <c r="I74" i="17"/>
  <c r="Y77" i="9"/>
  <c r="AC77" i="9" s="1"/>
  <c r="V77" i="9"/>
  <c r="J74" i="17" s="1"/>
  <c r="V98" i="9"/>
  <c r="J88" i="17" s="1"/>
  <c r="I88" i="17"/>
  <c r="I122" i="17"/>
  <c r="Y141" i="9"/>
  <c r="AC141" i="9" s="1"/>
  <c r="V141" i="9"/>
  <c r="J122" i="17" s="1"/>
  <c r="I81" i="17"/>
  <c r="V91" i="9"/>
  <c r="J81" i="17" s="1"/>
  <c r="V162" i="9"/>
  <c r="J20" i="21" s="1"/>
  <c r="I58" i="17"/>
  <c r="Y58" i="9"/>
  <c r="J21" i="17"/>
  <c r="I63" i="17"/>
  <c r="V61" i="9"/>
  <c r="J60" i="17" s="1"/>
  <c r="U73" i="17"/>
  <c r="AH76" i="9"/>
  <c r="V73" i="17" s="1"/>
  <c r="M22" i="20"/>
  <c r="AC89" i="9"/>
  <c r="Z89" i="9"/>
  <c r="N22" i="20" s="1"/>
  <c r="I20" i="20"/>
  <c r="Z91" i="9"/>
  <c r="N81" i="17" s="1"/>
  <c r="AD76" i="9"/>
  <c r="R73" i="17" s="1"/>
  <c r="Q73" i="17"/>
  <c r="Z76" i="9"/>
  <c r="N73" i="17" s="1"/>
  <c r="I99" i="17"/>
  <c r="M73" i="17"/>
  <c r="AC130" i="9"/>
  <c r="M111" i="17"/>
  <c r="AC91" i="9"/>
  <c r="V89" i="9"/>
  <c r="J22" i="20" s="1"/>
  <c r="I22" i="20"/>
  <c r="Q18" i="24"/>
  <c r="AG172" i="9"/>
  <c r="Y87" i="9"/>
  <c r="G30" i="18"/>
  <c r="Y98" i="17"/>
  <c r="M29" i="18"/>
  <c r="S14" i="9"/>
  <c r="V108" i="9"/>
  <c r="I98" i="17"/>
  <c r="Y108" i="9"/>
  <c r="Z166" i="9"/>
  <c r="N147" i="17" s="1"/>
  <c r="I59" i="17"/>
  <c r="V60" i="9"/>
  <c r="J59" i="17" s="1"/>
  <c r="Y60" i="9"/>
  <c r="Q14" i="9"/>
  <c r="AC61" i="9"/>
  <c r="M60" i="17"/>
  <c r="Z61" i="9"/>
  <c r="N60" i="17" s="1"/>
  <c r="AC178" i="9"/>
  <c r="Q22" i="24" s="1"/>
  <c r="I18" i="20"/>
  <c r="Y85" i="9"/>
  <c r="M61" i="17"/>
  <c r="Z62" i="9"/>
  <c r="N61" i="17" s="1"/>
  <c r="AC62" i="9"/>
  <c r="I60" i="17"/>
  <c r="Y64" i="9"/>
  <c r="V62" i="9"/>
  <c r="J61" i="17" s="1"/>
  <c r="M54" i="17"/>
  <c r="Q53" i="17"/>
  <c r="I61" i="17"/>
  <c r="R175" i="23"/>
  <c r="S175" i="23" s="1"/>
  <c r="O175" i="23"/>
  <c r="R164" i="23"/>
  <c r="S164" i="23" s="1"/>
  <c r="O164" i="23"/>
  <c r="O205" i="23"/>
  <c r="R205" i="23"/>
  <c r="S205" i="23" s="1"/>
  <c r="N84" i="23"/>
  <c r="N136" i="23"/>
  <c r="K175" i="23"/>
  <c r="N96" i="23"/>
  <c r="R96" i="23" s="1"/>
  <c r="S96" i="23" s="1"/>
  <c r="N91" i="23"/>
  <c r="R91" i="23" s="1"/>
  <c r="S91" i="23" s="1"/>
  <c r="N83" i="23"/>
  <c r="O83" i="23" s="1"/>
  <c r="K67" i="23"/>
  <c r="K205" i="23"/>
  <c r="K95" i="23"/>
  <c r="K171" i="23"/>
  <c r="N44" i="23"/>
  <c r="N153" i="23"/>
  <c r="N163" i="23"/>
  <c r="O176" i="23"/>
  <c r="R176" i="23"/>
  <c r="S255" i="23"/>
  <c r="V255" i="23"/>
  <c r="W255" i="23" s="1"/>
  <c r="O177" i="23"/>
  <c r="R177" i="23"/>
  <c r="S48" i="23"/>
  <c r="V48" i="23"/>
  <c r="W48" i="23" s="1"/>
  <c r="O92" i="23"/>
  <c r="R92" i="23"/>
  <c r="R253" i="23"/>
  <c r="O253" i="23"/>
  <c r="O150" i="23"/>
  <c r="R150" i="23"/>
  <c r="R166" i="23"/>
  <c r="O166" i="23"/>
  <c r="V58" i="23"/>
  <c r="W58" i="23" s="1"/>
  <c r="S58" i="23"/>
  <c r="R274" i="23"/>
  <c r="O274" i="23"/>
  <c r="O171" i="23"/>
  <c r="R171" i="23"/>
  <c r="O67" i="23"/>
  <c r="R67" i="23"/>
  <c r="R156" i="23"/>
  <c r="O156" i="23"/>
  <c r="O95" i="23"/>
  <c r="R95" i="23"/>
  <c r="N167" i="23"/>
  <c r="N155" i="23"/>
  <c r="K177" i="23"/>
  <c r="O48" i="23"/>
  <c r="K253" i="23"/>
  <c r="N157" i="23"/>
  <c r="N135" i="23"/>
  <c r="R204" i="23"/>
  <c r="N45" i="23"/>
  <c r="N88" i="23"/>
  <c r="K274" i="23"/>
  <c r="N158" i="23"/>
  <c r="N86" i="23"/>
  <c r="O255" i="23"/>
  <c r="N49" i="23"/>
  <c r="N149" i="23"/>
  <c r="N27" i="23"/>
  <c r="O27" i="23" s="1"/>
  <c r="N148" i="23"/>
  <c r="N26" i="23"/>
  <c r="R26" i="23" s="1"/>
  <c r="V26" i="23" s="1"/>
  <c r="W26" i="23" s="1"/>
  <c r="K38" i="23"/>
  <c r="N38" i="23"/>
  <c r="N9" i="23"/>
  <c r="R9" i="23" s="1"/>
  <c r="S9" i="23" s="1"/>
  <c r="N11" i="23"/>
  <c r="R11" i="23" s="1"/>
  <c r="V11" i="23" s="1"/>
  <c r="W11" i="23" s="1"/>
  <c r="G92" i="9"/>
  <c r="G82" i="17" s="1"/>
  <c r="F82" i="17"/>
  <c r="G99" i="9"/>
  <c r="G89" i="17" s="1"/>
  <c r="U99" i="9"/>
  <c r="F89" i="17"/>
  <c r="F141" i="23"/>
  <c r="H141" i="23" s="1"/>
  <c r="K37" i="23"/>
  <c r="K36" i="23"/>
  <c r="N10" i="23"/>
  <c r="R10" i="23" s="1"/>
  <c r="V10" i="23" s="1"/>
  <c r="W10" i="23" s="1"/>
  <c r="O37" i="23"/>
  <c r="R37" i="23"/>
  <c r="O36" i="23"/>
  <c r="R36" i="23"/>
  <c r="N25" i="23"/>
  <c r="J21" i="15"/>
  <c r="J20" i="15" s="1"/>
  <c r="P188" i="9"/>
  <c r="F23" i="27" s="1"/>
  <c r="J22" i="15"/>
  <c r="F262" i="23"/>
  <c r="H262" i="23" s="1"/>
  <c r="I9" i="15"/>
  <c r="F147" i="23"/>
  <c r="H147" i="23" s="1"/>
  <c r="U106" i="9"/>
  <c r="G93" i="9"/>
  <c r="G83" i="17" s="1"/>
  <c r="F151" i="23"/>
  <c r="F83" i="17"/>
  <c r="F138" i="23"/>
  <c r="H138" i="23" s="1"/>
  <c r="U93" i="9"/>
  <c r="P183" i="9"/>
  <c r="M13" i="15"/>
  <c r="E4" i="15" s="1"/>
  <c r="F251" i="23" s="1"/>
  <c r="J251" i="23" s="1"/>
  <c r="J9" i="15"/>
  <c r="J10" i="15"/>
  <c r="J11" i="15"/>
  <c r="J12" i="15"/>
  <c r="U102" i="9"/>
  <c r="I92" i="17" s="1"/>
  <c r="I21" i="15"/>
  <c r="I20" i="15" s="1"/>
  <c r="U97" i="9"/>
  <c r="Y97" i="9" s="1"/>
  <c r="Z97" i="9" s="1"/>
  <c r="N87" i="17" s="1"/>
  <c r="F87" i="17"/>
  <c r="C5" i="21"/>
  <c r="C5" i="18"/>
  <c r="C5" i="19"/>
  <c r="C5" i="24"/>
  <c r="U184" i="9"/>
  <c r="I19" i="27" s="1"/>
  <c r="Q184" i="9"/>
  <c r="G19" i="27" s="1"/>
  <c r="F19" i="27"/>
  <c r="K21" i="15"/>
  <c r="K20" i="15" s="1"/>
  <c r="I22" i="15"/>
  <c r="Q185" i="9"/>
  <c r="G20" i="27" s="1"/>
  <c r="F20" i="27"/>
  <c r="U185" i="9"/>
  <c r="Q189" i="9"/>
  <c r="G24" i="27" s="1"/>
  <c r="U189" i="9"/>
  <c r="F24" i="27"/>
  <c r="F22" i="27"/>
  <c r="G102" i="9"/>
  <c r="G92" i="17" s="1"/>
  <c r="U105" i="9"/>
  <c r="I95" i="17" s="1"/>
  <c r="F143" i="23"/>
  <c r="U187" i="9"/>
  <c r="K10" i="15"/>
  <c r="M14" i="15"/>
  <c r="E20" i="15" s="1"/>
  <c r="F252" i="23" s="1"/>
  <c r="J252" i="23" s="1"/>
  <c r="K9" i="15"/>
  <c r="K11" i="15"/>
  <c r="G106" i="9"/>
  <c r="G96" i="17" s="1"/>
  <c r="AK103" i="9"/>
  <c r="Y93" i="17" s="1"/>
  <c r="G105" i="9"/>
  <c r="G95" i="17" s="1"/>
  <c r="AK105" i="9"/>
  <c r="Y95" i="17" s="1"/>
  <c r="AK106" i="9"/>
  <c r="Y96" i="17" s="1"/>
  <c r="AK104" i="9"/>
  <c r="Y94" i="17" s="1"/>
  <c r="AC171" i="9" l="1"/>
  <c r="AC232" i="9"/>
  <c r="AG232" i="9" s="1"/>
  <c r="U185" i="17" s="1"/>
  <c r="AC164" i="9"/>
  <c r="Q145" i="17" s="1"/>
  <c r="AC19" i="9"/>
  <c r="Q18" i="17" s="1"/>
  <c r="AD134" i="9"/>
  <c r="R115" i="17" s="1"/>
  <c r="AC237" i="9"/>
  <c r="AD237" i="9" s="1"/>
  <c r="R190" i="17" s="1"/>
  <c r="Q115" i="17"/>
  <c r="Z171" i="9"/>
  <c r="N17" i="24" s="1"/>
  <c r="AC144" i="9"/>
  <c r="Q125" i="17" s="1"/>
  <c r="M125" i="17"/>
  <c r="AG80" i="9"/>
  <c r="AC238" i="9"/>
  <c r="Q191" i="17" s="1"/>
  <c r="Z164" i="9"/>
  <c r="N145" i="17" s="1"/>
  <c r="Z237" i="9"/>
  <c r="N190" i="17" s="1"/>
  <c r="AC88" i="9"/>
  <c r="AD88" i="9" s="1"/>
  <c r="R21" i="20" s="1"/>
  <c r="Q77" i="17"/>
  <c r="Z88" i="9"/>
  <c r="N21" i="20" s="1"/>
  <c r="R93" i="23"/>
  <c r="N53" i="17"/>
  <c r="M53" i="17"/>
  <c r="Q21" i="17"/>
  <c r="M21" i="17"/>
  <c r="Z232" i="9"/>
  <c r="N185" i="17" s="1"/>
  <c r="G57" i="9"/>
  <c r="O174" i="9"/>
  <c r="G21" i="21"/>
  <c r="O160" i="9"/>
  <c r="G160" i="9"/>
  <c r="M147" i="17"/>
  <c r="Q185" i="17"/>
  <c r="U68" i="17"/>
  <c r="Q68" i="17"/>
  <c r="AD69" i="9"/>
  <c r="R68" i="17" s="1"/>
  <c r="M68" i="17"/>
  <c r="Z69" i="9"/>
  <c r="N68" i="17" s="1"/>
  <c r="S246" i="9"/>
  <c r="G25" i="19"/>
  <c r="O35" i="23"/>
  <c r="R35" i="23"/>
  <c r="G18" i="20"/>
  <c r="G24" i="20" s="1"/>
  <c r="M81" i="9"/>
  <c r="M246" i="9" s="1"/>
  <c r="AC192" i="9"/>
  <c r="AG192" i="9" s="1"/>
  <c r="U27" i="18" s="1"/>
  <c r="J152" i="23"/>
  <c r="N152" i="23" s="1"/>
  <c r="O152" i="23" s="1"/>
  <c r="R61" i="23"/>
  <c r="V61" i="23" s="1"/>
  <c r="W61" i="23" s="1"/>
  <c r="R21" i="17"/>
  <c r="Z173" i="9"/>
  <c r="N19" i="24" s="1"/>
  <c r="U21" i="17"/>
  <c r="M19" i="24"/>
  <c r="Q19" i="24"/>
  <c r="Z182" i="9"/>
  <c r="N17" i="27" s="1"/>
  <c r="Z192" i="9"/>
  <c r="N27" i="18" s="1"/>
  <c r="AC140" i="9"/>
  <c r="AD140" i="9" s="1"/>
  <c r="R121" i="17" s="1"/>
  <c r="AC17" i="9"/>
  <c r="Q16" i="17" s="1"/>
  <c r="AD173" i="9"/>
  <c r="R19" i="24" s="1"/>
  <c r="Z140" i="9"/>
  <c r="N121" i="17" s="1"/>
  <c r="AH232" i="9"/>
  <c r="V185" i="17" s="1"/>
  <c r="AD232" i="9"/>
  <c r="R185" i="17" s="1"/>
  <c r="G16" i="9"/>
  <c r="G142" i="17"/>
  <c r="G24" i="24"/>
  <c r="G20" i="21"/>
  <c r="Q183" i="9"/>
  <c r="F181" i="9"/>
  <c r="J24" i="24"/>
  <c r="J28" i="21"/>
  <c r="V92" i="9"/>
  <c r="Y92" i="9"/>
  <c r="I82" i="17"/>
  <c r="M67" i="17"/>
  <c r="Z66" i="9"/>
  <c r="N65" i="17" s="1"/>
  <c r="AC68" i="9"/>
  <c r="AD68" i="9" s="1"/>
  <c r="R67" i="17" s="1"/>
  <c r="Z131" i="9"/>
  <c r="N112" i="17" s="1"/>
  <c r="AC131" i="9"/>
  <c r="Q112" i="17" s="1"/>
  <c r="AC84" i="9"/>
  <c r="Q17" i="20" s="1"/>
  <c r="M17" i="20"/>
  <c r="AC139" i="9"/>
  <c r="Q120" i="17" s="1"/>
  <c r="Q113" i="17"/>
  <c r="AG186" i="9"/>
  <c r="U21" i="27" s="1"/>
  <c r="Z167" i="9"/>
  <c r="N148" i="17" s="1"/>
  <c r="M148" i="17"/>
  <c r="Z139" i="9"/>
  <c r="N120" i="17" s="1"/>
  <c r="M65" i="17"/>
  <c r="AD132" i="9"/>
  <c r="R113" i="17" s="1"/>
  <c r="AC235" i="9"/>
  <c r="AG235" i="9" s="1"/>
  <c r="Z235" i="9"/>
  <c r="N188" i="17" s="1"/>
  <c r="M113" i="17"/>
  <c r="Z132" i="9"/>
  <c r="N113" i="17" s="1"/>
  <c r="AC165" i="9"/>
  <c r="Q146" i="17" s="1"/>
  <c r="M146" i="17"/>
  <c r="AG166" i="9"/>
  <c r="Q147" i="17"/>
  <c r="Z161" i="9"/>
  <c r="N142" i="17" s="1"/>
  <c r="M142" i="17"/>
  <c r="S47" i="23"/>
  <c r="O47" i="23"/>
  <c r="R134" i="23"/>
  <c r="V134" i="23" s="1"/>
  <c r="W134" i="23" s="1"/>
  <c r="V59" i="23"/>
  <c r="W59" i="23" s="1"/>
  <c r="O96" i="23"/>
  <c r="S207" i="23"/>
  <c r="O59" i="23"/>
  <c r="V46" i="23"/>
  <c r="W46" i="23" s="1"/>
  <c r="R140" i="23"/>
  <c r="V140" i="23" s="1"/>
  <c r="W140" i="23" s="1"/>
  <c r="R168" i="23"/>
  <c r="S168" i="23" s="1"/>
  <c r="R85" i="23"/>
  <c r="O207" i="23"/>
  <c r="V96" i="23"/>
  <c r="W96" i="23" s="1"/>
  <c r="Z17" i="9"/>
  <c r="N16" i="17" s="1"/>
  <c r="Q192" i="17"/>
  <c r="AG239" i="9"/>
  <c r="U192" i="17" s="1"/>
  <c r="Z239" i="9"/>
  <c r="N192" i="17" s="1"/>
  <c r="M192" i="17"/>
  <c r="AC182" i="9"/>
  <c r="AD182" i="9" s="1"/>
  <c r="R17" i="27" s="1"/>
  <c r="V164" i="23"/>
  <c r="W164" i="23" s="1"/>
  <c r="Y102" i="9"/>
  <c r="M92" i="17" s="1"/>
  <c r="J143" i="23"/>
  <c r="H143" i="23"/>
  <c r="H144" i="23"/>
  <c r="J144" i="23"/>
  <c r="H146" i="23"/>
  <c r="AC18" i="9"/>
  <c r="AD18" i="9" s="1"/>
  <c r="R17" i="17" s="1"/>
  <c r="Z84" i="9"/>
  <c r="N17" i="20" s="1"/>
  <c r="M109" i="17"/>
  <c r="AC128" i="9"/>
  <c r="Q109" i="17" s="1"/>
  <c r="Z79" i="9"/>
  <c r="N76" i="17" s="1"/>
  <c r="N21" i="17"/>
  <c r="Z18" i="9"/>
  <c r="N17" i="17" s="1"/>
  <c r="Z143" i="9"/>
  <c r="N124" i="17" s="1"/>
  <c r="M124" i="17"/>
  <c r="AC143" i="9"/>
  <c r="N252" i="23"/>
  <c r="K252" i="23"/>
  <c r="N251" i="23"/>
  <c r="K251" i="23"/>
  <c r="O254" i="23"/>
  <c r="G104" i="9"/>
  <c r="G94" i="17" s="1"/>
  <c r="U104" i="9"/>
  <c r="I94" i="17" s="1"/>
  <c r="Y106" i="9"/>
  <c r="Z106" i="9" s="1"/>
  <c r="N96" i="17" s="1"/>
  <c r="I96" i="17"/>
  <c r="Y105" i="9"/>
  <c r="O46" i="23"/>
  <c r="V169" i="23"/>
  <c r="W169" i="23" s="1"/>
  <c r="R173" i="23"/>
  <c r="S173" i="23" s="1"/>
  <c r="V160" i="23"/>
  <c r="W160" i="23" s="1"/>
  <c r="R162" i="23"/>
  <c r="S162" i="23" s="1"/>
  <c r="Z73" i="9"/>
  <c r="N17" i="21" s="1"/>
  <c r="Q72" i="17"/>
  <c r="AG75" i="9"/>
  <c r="AC59" i="9"/>
  <c r="AD59" i="9" s="1"/>
  <c r="R58" i="17" s="1"/>
  <c r="AC73" i="9"/>
  <c r="Q17" i="21" s="1"/>
  <c r="M74" i="17"/>
  <c r="Z59" i="9"/>
  <c r="N58" i="17" s="1"/>
  <c r="M72" i="17"/>
  <c r="AC125" i="9"/>
  <c r="Q106" i="17" s="1"/>
  <c r="H145" i="23"/>
  <c r="M122" i="17"/>
  <c r="AC79" i="9"/>
  <c r="AG79" i="9" s="1"/>
  <c r="AD186" i="9"/>
  <c r="R21" i="27" s="1"/>
  <c r="M119" i="17"/>
  <c r="Z138" i="9"/>
  <c r="N119" i="17" s="1"/>
  <c r="AC194" i="9"/>
  <c r="Z194" i="9"/>
  <c r="N29" i="18" s="1"/>
  <c r="M66" i="17"/>
  <c r="AC67" i="9"/>
  <c r="AG67" i="9" s="1"/>
  <c r="Q190" i="17"/>
  <c r="AG237" i="9"/>
  <c r="M34" i="21"/>
  <c r="AC167" i="9"/>
  <c r="Q148" i="17" s="1"/>
  <c r="J77" i="17"/>
  <c r="M186" i="17"/>
  <c r="AC233" i="9"/>
  <c r="AG231" i="9"/>
  <c r="U184" i="17" s="1"/>
  <c r="Q184" i="17"/>
  <c r="G98" i="17"/>
  <c r="G32" i="18"/>
  <c r="B2" i="17"/>
  <c r="B1" i="23"/>
  <c r="B2" i="21"/>
  <c r="B2" i="18"/>
  <c r="B2" i="20"/>
  <c r="B2" i="19"/>
  <c r="B2" i="27"/>
  <c r="B2" i="24"/>
  <c r="J34" i="21"/>
  <c r="J32" i="18"/>
  <c r="Y101" i="17"/>
  <c r="Y25" i="19"/>
  <c r="N77" i="17"/>
  <c r="Y34" i="21"/>
  <c r="Y32" i="18"/>
  <c r="Y32" i="27"/>
  <c r="N9" i="22" s="1"/>
  <c r="Y77" i="17"/>
  <c r="Y24" i="20"/>
  <c r="R77" i="17"/>
  <c r="G103" i="9"/>
  <c r="G93" i="17" s="1"/>
  <c r="U103" i="9"/>
  <c r="I93" i="17" s="1"/>
  <c r="Z116" i="9"/>
  <c r="N16" i="19" s="1"/>
  <c r="AC116" i="9"/>
  <c r="Q16" i="19" s="1"/>
  <c r="H39" i="23"/>
  <c r="J39" i="23"/>
  <c r="AC161" i="9"/>
  <c r="I8" i="15"/>
  <c r="J101" i="17"/>
  <c r="J25" i="19"/>
  <c r="V139" i="23"/>
  <c r="W139" i="23" s="1"/>
  <c r="V254" i="23"/>
  <c r="W254" i="23" s="1"/>
  <c r="R60" i="23"/>
  <c r="V60" i="23" s="1"/>
  <c r="W60" i="23" s="1"/>
  <c r="V91" i="23"/>
  <c r="W91" i="23" s="1"/>
  <c r="R89" i="23"/>
  <c r="S89" i="23" s="1"/>
  <c r="V205" i="23"/>
  <c r="W205" i="23" s="1"/>
  <c r="O94" i="23"/>
  <c r="R94" i="23"/>
  <c r="S206" i="23"/>
  <c r="V206" i="23"/>
  <c r="W206" i="23" s="1"/>
  <c r="R83" i="23"/>
  <c r="S83" i="23" s="1"/>
  <c r="O256" i="23"/>
  <c r="S87" i="23"/>
  <c r="O154" i="23"/>
  <c r="R154" i="23"/>
  <c r="V256" i="23"/>
  <c r="W256" i="23" s="1"/>
  <c r="O137" i="23"/>
  <c r="R137" i="23"/>
  <c r="O43" i="23"/>
  <c r="R43" i="23"/>
  <c r="M22" i="15"/>
  <c r="U183" i="9"/>
  <c r="I18" i="27" s="1"/>
  <c r="M12" i="15"/>
  <c r="R13" i="23"/>
  <c r="O13" i="23"/>
  <c r="J8" i="15"/>
  <c r="R12" i="23"/>
  <c r="O12" i="23"/>
  <c r="Y24" i="24"/>
  <c r="N10" i="22" s="1"/>
  <c r="Y99" i="17"/>
  <c r="AC127" i="9"/>
  <c r="M108" i="17"/>
  <c r="Z127" i="9"/>
  <c r="N108" i="17" s="1"/>
  <c r="AC195" i="9"/>
  <c r="Z195" i="9"/>
  <c r="N30" i="18" s="1"/>
  <c r="M30" i="18"/>
  <c r="AC82" i="9"/>
  <c r="Z82" i="9"/>
  <c r="N16" i="20" s="1"/>
  <c r="M16" i="20"/>
  <c r="Z125" i="9"/>
  <c r="N106" i="17" s="1"/>
  <c r="AC136" i="9"/>
  <c r="Z136" i="9"/>
  <c r="N117" i="17" s="1"/>
  <c r="M117" i="17"/>
  <c r="AD107" i="9"/>
  <c r="R97" i="17" s="1"/>
  <c r="Q97" i="17"/>
  <c r="AD191" i="9"/>
  <c r="R26" i="27" s="1"/>
  <c r="AG191" i="9"/>
  <c r="Q26" i="27"/>
  <c r="Z71" i="9"/>
  <c r="N70" i="17" s="1"/>
  <c r="AC71" i="9"/>
  <c r="M70" i="17"/>
  <c r="I19" i="20"/>
  <c r="V86" i="9"/>
  <c r="J19" i="20" s="1"/>
  <c r="J24" i="20" s="1"/>
  <c r="Y86" i="9"/>
  <c r="Z72" i="9"/>
  <c r="N16" i="21" s="1"/>
  <c r="AC72" i="9"/>
  <c r="Q16" i="21" s="1"/>
  <c r="U115" i="17"/>
  <c r="AH134" i="9"/>
  <c r="V115" i="17" s="1"/>
  <c r="Z77" i="9"/>
  <c r="N74" i="17" s="1"/>
  <c r="M123" i="17"/>
  <c r="Z141" i="9"/>
  <c r="N122" i="17" s="1"/>
  <c r="Q86" i="17"/>
  <c r="AG96" i="9"/>
  <c r="AD96" i="9"/>
  <c r="R86" i="17" s="1"/>
  <c r="AG139" i="9"/>
  <c r="AC170" i="9"/>
  <c r="Q28" i="21" s="1"/>
  <c r="Z170" i="9"/>
  <c r="AC163" i="9"/>
  <c r="M21" i="21"/>
  <c r="Z163" i="9"/>
  <c r="N21" i="21" s="1"/>
  <c r="Z142" i="9"/>
  <c r="N123" i="17" s="1"/>
  <c r="AG193" i="9"/>
  <c r="U28" i="18" s="1"/>
  <c r="AC63" i="9"/>
  <c r="AD63" i="9" s="1"/>
  <c r="R62" i="17" s="1"/>
  <c r="AG190" i="9"/>
  <c r="U25" i="27" s="1"/>
  <c r="M101" i="17"/>
  <c r="AH80" i="9"/>
  <c r="U77" i="17"/>
  <c r="Z179" i="9"/>
  <c r="AD193" i="9"/>
  <c r="R28" i="18" s="1"/>
  <c r="AG142" i="9"/>
  <c r="U123" i="17" s="1"/>
  <c r="Q25" i="27"/>
  <c r="M30" i="21"/>
  <c r="Z175" i="9"/>
  <c r="N30" i="21" s="1"/>
  <c r="AC175" i="9"/>
  <c r="AH173" i="9"/>
  <c r="V19" i="24" s="1"/>
  <c r="U19" i="24"/>
  <c r="Q123" i="17"/>
  <c r="M62" i="17"/>
  <c r="M116" i="17"/>
  <c r="Z135" i="9"/>
  <c r="N116" i="17" s="1"/>
  <c r="AC135" i="9"/>
  <c r="Z78" i="9"/>
  <c r="N75" i="17" s="1"/>
  <c r="M75" i="17"/>
  <c r="AC78" i="9"/>
  <c r="AG236" i="9"/>
  <c r="AD236" i="9"/>
  <c r="R189" i="17" s="1"/>
  <c r="Q189" i="17"/>
  <c r="AH126" i="9"/>
  <c r="V107" i="17" s="1"/>
  <c r="U107" i="17"/>
  <c r="Z137" i="9"/>
  <c r="N118" i="17" s="1"/>
  <c r="AC137" i="9"/>
  <c r="M118" i="17"/>
  <c r="AC129" i="9"/>
  <c r="M110" i="17"/>
  <c r="Z129" i="9"/>
  <c r="N110" i="17" s="1"/>
  <c r="AD17" i="9"/>
  <c r="R16" i="17" s="1"/>
  <c r="M69" i="17"/>
  <c r="Z70" i="9"/>
  <c r="N69" i="17" s="1"/>
  <c r="AC70" i="9"/>
  <c r="AC133" i="9"/>
  <c r="M114" i="17"/>
  <c r="Z133" i="9"/>
  <c r="N114" i="17" s="1"/>
  <c r="AH107" i="9"/>
  <c r="V97" i="17" s="1"/>
  <c r="U97" i="17"/>
  <c r="Q17" i="24"/>
  <c r="AG171" i="9"/>
  <c r="AD171" i="9"/>
  <c r="R17" i="24" s="1"/>
  <c r="AG177" i="9"/>
  <c r="U21" i="24" s="1"/>
  <c r="AD177" i="9"/>
  <c r="R21" i="24" s="1"/>
  <c r="U113" i="17"/>
  <c r="Z58" i="9"/>
  <c r="N57" i="17" s="1"/>
  <c r="M57" i="17"/>
  <c r="AC58" i="9"/>
  <c r="Q88" i="17"/>
  <c r="AG98" i="9"/>
  <c r="AD98" i="9"/>
  <c r="R88" i="17" s="1"/>
  <c r="Z176" i="9"/>
  <c r="N31" i="21" s="1"/>
  <c r="AC162" i="9"/>
  <c r="Z162" i="9"/>
  <c r="N20" i="21" s="1"/>
  <c r="M20" i="21"/>
  <c r="V184" i="9"/>
  <c r="J19" i="27" s="1"/>
  <c r="Q60" i="17"/>
  <c r="AD61" i="9"/>
  <c r="R60" i="17" s="1"/>
  <c r="AG61" i="9"/>
  <c r="AG164" i="9"/>
  <c r="U145" i="17" s="1"/>
  <c r="AD164" i="9"/>
  <c r="R145" i="17" s="1"/>
  <c r="AG91" i="9"/>
  <c r="AD91" i="9"/>
  <c r="R81" i="17" s="1"/>
  <c r="Q81" i="17"/>
  <c r="M99" i="17"/>
  <c r="AD89" i="9"/>
  <c r="R22" i="20" s="1"/>
  <c r="AG89" i="9"/>
  <c r="Q22" i="20"/>
  <c r="AC64" i="9"/>
  <c r="M63" i="17"/>
  <c r="Z64" i="9"/>
  <c r="N63" i="17" s="1"/>
  <c r="AD138" i="9"/>
  <c r="R119" i="17" s="1"/>
  <c r="Q119" i="17"/>
  <c r="AG138" i="9"/>
  <c r="V21" i="17"/>
  <c r="Q65" i="17"/>
  <c r="AG66" i="9"/>
  <c r="AD66" i="9"/>
  <c r="R65" i="17" s="1"/>
  <c r="Q74" i="17"/>
  <c r="AG77" i="9"/>
  <c r="AD77" i="9"/>
  <c r="R74" i="17" s="1"/>
  <c r="AD62" i="9"/>
  <c r="R61" i="17" s="1"/>
  <c r="AG62" i="9"/>
  <c r="Q61" i="17"/>
  <c r="AC85" i="9"/>
  <c r="M18" i="20"/>
  <c r="Z85" i="9"/>
  <c r="N18" i="20" s="1"/>
  <c r="J99" i="17"/>
  <c r="U18" i="24"/>
  <c r="AH172" i="9"/>
  <c r="V18" i="24" s="1"/>
  <c r="Q111" i="17"/>
  <c r="AG130" i="9"/>
  <c r="AD130" i="9"/>
  <c r="R111" i="17" s="1"/>
  <c r="J98" i="17"/>
  <c r="AG178" i="9"/>
  <c r="U22" i="24" s="1"/>
  <c r="AD178" i="9"/>
  <c r="R22" i="24" s="1"/>
  <c r="Q34" i="21"/>
  <c r="AD179" i="9"/>
  <c r="AG179" i="9"/>
  <c r="U53" i="17"/>
  <c r="R53" i="17"/>
  <c r="AC108" i="9"/>
  <c r="Z108" i="9"/>
  <c r="M98" i="17"/>
  <c r="AC60" i="9"/>
  <c r="M59" i="17"/>
  <c r="Z60" i="9"/>
  <c r="N59" i="17" s="1"/>
  <c r="Q54" i="17"/>
  <c r="N54" i="17"/>
  <c r="M20" i="20"/>
  <c r="AC87" i="9"/>
  <c r="Z87" i="9"/>
  <c r="N20" i="20" s="1"/>
  <c r="AD141" i="9"/>
  <c r="R122" i="17" s="1"/>
  <c r="AG141" i="9"/>
  <c r="Q122" i="17"/>
  <c r="H251" i="23"/>
  <c r="O91" i="23"/>
  <c r="R44" i="23"/>
  <c r="O44" i="23"/>
  <c r="O136" i="23"/>
  <c r="R136" i="23"/>
  <c r="O84" i="23"/>
  <c r="R84" i="23"/>
  <c r="V175" i="23"/>
  <c r="W175" i="23" s="1"/>
  <c r="V93" i="23"/>
  <c r="W93" i="23" s="1"/>
  <c r="S93" i="23"/>
  <c r="R163" i="23"/>
  <c r="O163" i="23"/>
  <c r="O153" i="23"/>
  <c r="R153" i="23"/>
  <c r="O167" i="23"/>
  <c r="R167" i="23"/>
  <c r="O158" i="23"/>
  <c r="R158" i="23"/>
  <c r="R157" i="23"/>
  <c r="O157" i="23"/>
  <c r="S67" i="23"/>
  <c r="V67" i="23"/>
  <c r="W67" i="23" s="1"/>
  <c r="S150" i="23"/>
  <c r="V150" i="23"/>
  <c r="W150" i="23" s="1"/>
  <c r="S95" i="23"/>
  <c r="V95" i="23"/>
  <c r="W95" i="23" s="1"/>
  <c r="R49" i="23"/>
  <c r="O49" i="23"/>
  <c r="S166" i="23"/>
  <c r="V166" i="23"/>
  <c r="W166" i="23" s="1"/>
  <c r="O88" i="23"/>
  <c r="R88" i="23"/>
  <c r="S253" i="23"/>
  <c r="V253" i="23"/>
  <c r="W253" i="23" s="1"/>
  <c r="R86" i="23"/>
  <c r="O86" i="23"/>
  <c r="V204" i="23"/>
  <c r="W204" i="23" s="1"/>
  <c r="S204" i="23"/>
  <c r="V92" i="23"/>
  <c r="W92" i="23" s="1"/>
  <c r="S92" i="23"/>
  <c r="R27" i="23"/>
  <c r="S27" i="23" s="1"/>
  <c r="R45" i="23"/>
  <c r="O45" i="23"/>
  <c r="S156" i="23"/>
  <c r="V156" i="23"/>
  <c r="W156" i="23" s="1"/>
  <c r="V274" i="23"/>
  <c r="W274" i="23" s="1"/>
  <c r="S274" i="23"/>
  <c r="R155" i="23"/>
  <c r="O155" i="23"/>
  <c r="S171" i="23"/>
  <c r="V171" i="23"/>
  <c r="W171" i="23" s="1"/>
  <c r="S177" i="23"/>
  <c r="V177" i="23"/>
  <c r="W177" i="23" s="1"/>
  <c r="V176" i="23"/>
  <c r="W176" i="23" s="1"/>
  <c r="S176" i="23"/>
  <c r="O135" i="23"/>
  <c r="R135" i="23"/>
  <c r="R149" i="23"/>
  <c r="O149" i="23"/>
  <c r="S11" i="23"/>
  <c r="V9" i="23"/>
  <c r="W9" i="23" s="1"/>
  <c r="O148" i="23"/>
  <c r="R148" i="23"/>
  <c r="O26" i="23"/>
  <c r="S26" i="23"/>
  <c r="O9" i="23"/>
  <c r="R38" i="23"/>
  <c r="O38" i="23"/>
  <c r="O10" i="23"/>
  <c r="O11" i="23"/>
  <c r="J141" i="23"/>
  <c r="K141" i="23" s="1"/>
  <c r="J138" i="23"/>
  <c r="K138" i="23" s="1"/>
  <c r="J147" i="23"/>
  <c r="K147" i="23" s="1"/>
  <c r="V99" i="9"/>
  <c r="J89" i="17" s="1"/>
  <c r="Y99" i="9"/>
  <c r="I89" i="17"/>
  <c r="S10" i="23"/>
  <c r="R25" i="23"/>
  <c r="O25" i="23"/>
  <c r="S37" i="23"/>
  <c r="V37" i="23"/>
  <c r="W37" i="23" s="1"/>
  <c r="S36" i="23"/>
  <c r="V36" i="23"/>
  <c r="W36" i="23" s="1"/>
  <c r="V102" i="9"/>
  <c r="J92" i="17" s="1"/>
  <c r="F18" i="27"/>
  <c r="Q188" i="9"/>
  <c r="G23" i="27" s="1"/>
  <c r="U188" i="9"/>
  <c r="M20" i="15"/>
  <c r="V106" i="9"/>
  <c r="J96" i="17" s="1"/>
  <c r="M11" i="15"/>
  <c r="E15" i="15" s="1"/>
  <c r="F257" i="23" s="1"/>
  <c r="H257" i="23" s="1"/>
  <c r="I87" i="17"/>
  <c r="V97" i="9"/>
  <c r="J87" i="17" s="1"/>
  <c r="J262" i="23"/>
  <c r="N262" i="23" s="1"/>
  <c r="R262" i="23" s="1"/>
  <c r="M87" i="17"/>
  <c r="Y93" i="9"/>
  <c r="I83" i="17"/>
  <c r="V93" i="9"/>
  <c r="AC97" i="9"/>
  <c r="AG97" i="9" s="1"/>
  <c r="H151" i="23"/>
  <c r="J151" i="23"/>
  <c r="M10" i="15"/>
  <c r="Y184" i="9"/>
  <c r="Z184" i="9" s="1"/>
  <c r="N19" i="27" s="1"/>
  <c r="O146" i="23"/>
  <c r="K146" i="23"/>
  <c r="M21" i="15"/>
  <c r="V187" i="9"/>
  <c r="J22" i="27" s="1"/>
  <c r="Y187" i="9"/>
  <c r="I22" i="27"/>
  <c r="H252" i="23"/>
  <c r="Y189" i="9"/>
  <c r="I24" i="27"/>
  <c r="V189" i="9"/>
  <c r="J24" i="27" s="1"/>
  <c r="K8" i="15"/>
  <c r="V105" i="9"/>
  <c r="J95" i="17" s="1"/>
  <c r="V185" i="9"/>
  <c r="J20" i="27" s="1"/>
  <c r="I20" i="27"/>
  <c r="Y185" i="9"/>
  <c r="M9" i="15"/>
  <c r="E22" i="15" s="1"/>
  <c r="F260" i="23" s="1"/>
  <c r="K145" i="23"/>
  <c r="N145" i="23"/>
  <c r="S146" i="23"/>
  <c r="V146" i="23"/>
  <c r="W146" i="23" s="1"/>
  <c r="AK246" i="9"/>
  <c r="AD144" i="9" l="1"/>
  <c r="R125" i="17" s="1"/>
  <c r="Q21" i="20"/>
  <c r="AG88" i="9"/>
  <c r="AH88" i="9" s="1"/>
  <c r="V21" i="20" s="1"/>
  <c r="Q67" i="17"/>
  <c r="AG68" i="9"/>
  <c r="J26" i="20"/>
  <c r="AG144" i="9"/>
  <c r="U125" i="17" s="1"/>
  <c r="AH186" i="9"/>
  <c r="V21" i="27" s="1"/>
  <c r="AG19" i="9"/>
  <c r="AD19" i="9"/>
  <c r="R18" i="17" s="1"/>
  <c r="Y34" i="18"/>
  <c r="Y35" i="18" s="1"/>
  <c r="G36" i="21"/>
  <c r="AG238" i="9"/>
  <c r="AH238" i="9" s="1"/>
  <c r="V191" i="17" s="1"/>
  <c r="AD238" i="9"/>
  <c r="R191" i="17" s="1"/>
  <c r="N7" i="22"/>
  <c r="Y26" i="20"/>
  <c r="Y27" i="20" s="1"/>
  <c r="J34" i="18"/>
  <c r="J35" i="18" s="1"/>
  <c r="J26" i="24"/>
  <c r="J27" i="24" s="1"/>
  <c r="Q76" i="17"/>
  <c r="AG131" i="9"/>
  <c r="AH131" i="9" s="1"/>
  <c r="V112" i="17" s="1"/>
  <c r="Q58" i="17"/>
  <c r="AG59" i="9"/>
  <c r="U58" i="17" s="1"/>
  <c r="AH192" i="9"/>
  <c r="V27" i="18" s="1"/>
  <c r="O246" i="9"/>
  <c r="S61" i="23"/>
  <c r="J27" i="19"/>
  <c r="J28" i="19" s="1"/>
  <c r="Y27" i="19"/>
  <c r="Y28" i="19" s="1"/>
  <c r="AD67" i="9"/>
  <c r="R66" i="17" s="1"/>
  <c r="Q66" i="17"/>
  <c r="V35" i="23"/>
  <c r="W35" i="23" s="1"/>
  <c r="S35" i="23"/>
  <c r="G18" i="27"/>
  <c r="Q180" i="9"/>
  <c r="Q246" i="9" s="1"/>
  <c r="J82" i="17"/>
  <c r="S134" i="23"/>
  <c r="AG17" i="9"/>
  <c r="AH17" i="9" s="1"/>
  <c r="V16" i="17" s="1"/>
  <c r="AD235" i="9"/>
  <c r="R188" i="17" s="1"/>
  <c r="AG165" i="9"/>
  <c r="U146" i="17" s="1"/>
  <c r="AG18" i="9"/>
  <c r="U17" i="17" s="1"/>
  <c r="Q188" i="17"/>
  <c r="Q27" i="18"/>
  <c r="AH142" i="9"/>
  <c r="V123" i="17" s="1"/>
  <c r="AD192" i="9"/>
  <c r="R27" i="18" s="1"/>
  <c r="AD139" i="9"/>
  <c r="R120" i="17" s="1"/>
  <c r="K152" i="23"/>
  <c r="R152" i="23"/>
  <c r="V152" i="23" s="1"/>
  <c r="W152" i="23" s="1"/>
  <c r="AG84" i="9"/>
  <c r="U17" i="20" s="1"/>
  <c r="AD84" i="9"/>
  <c r="R17" i="20" s="1"/>
  <c r="AD131" i="9"/>
  <c r="R112" i="17" s="1"/>
  <c r="Q17" i="17"/>
  <c r="AD79" i="9"/>
  <c r="R76" i="17" s="1"/>
  <c r="AG140" i="9"/>
  <c r="Q121" i="17"/>
  <c r="G90" i="9"/>
  <c r="G246" i="9" s="1"/>
  <c r="N5" i="22"/>
  <c r="N28" i="21"/>
  <c r="Z92" i="9"/>
  <c r="N82" i="17" s="1"/>
  <c r="AC92" i="9"/>
  <c r="M82" i="17"/>
  <c r="S60" i="23"/>
  <c r="U21" i="20"/>
  <c r="AD165" i="9"/>
  <c r="R146" i="17" s="1"/>
  <c r="U147" i="17"/>
  <c r="AH166" i="9"/>
  <c r="V147" i="17" s="1"/>
  <c r="AG128" i="9"/>
  <c r="AH128" i="9" s="1"/>
  <c r="V109" i="17" s="1"/>
  <c r="AH239" i="9"/>
  <c r="V192" i="17" s="1"/>
  <c r="AD128" i="9"/>
  <c r="R109" i="17" s="1"/>
  <c r="AG125" i="9"/>
  <c r="AH125" i="9" s="1"/>
  <c r="V106" i="17" s="1"/>
  <c r="AG167" i="9"/>
  <c r="U148" i="17" s="1"/>
  <c r="AD125" i="9"/>
  <c r="R106" i="17" s="1"/>
  <c r="AH190" i="9"/>
  <c r="V25" i="27" s="1"/>
  <c r="AG161" i="9"/>
  <c r="U142" i="17" s="1"/>
  <c r="Q142" i="17"/>
  <c r="Z105" i="9"/>
  <c r="N95" i="17" s="1"/>
  <c r="M95" i="17"/>
  <c r="S140" i="23"/>
  <c r="V168" i="23"/>
  <c r="W168" i="23" s="1"/>
  <c r="S85" i="23"/>
  <c r="V85" i="23"/>
  <c r="W85" i="23" s="1"/>
  <c r="Q17" i="27"/>
  <c r="AG182" i="9"/>
  <c r="U17" i="27" s="1"/>
  <c r="V173" i="23"/>
  <c r="W173" i="23" s="1"/>
  <c r="AC102" i="9"/>
  <c r="Q92" i="17" s="1"/>
  <c r="Z102" i="9"/>
  <c r="N92" i="17" s="1"/>
  <c r="V104" i="9"/>
  <c r="J94" i="17" s="1"/>
  <c r="Y103" i="9"/>
  <c r="M93" i="17" s="1"/>
  <c r="N144" i="23"/>
  <c r="K144" i="23"/>
  <c r="K143" i="23"/>
  <c r="N143" i="23"/>
  <c r="J83" i="17"/>
  <c r="Q124" i="17"/>
  <c r="AD143" i="9"/>
  <c r="R124" i="17" s="1"/>
  <c r="AG143" i="9"/>
  <c r="R251" i="23"/>
  <c r="O251" i="23"/>
  <c r="R252" i="23"/>
  <c r="O252" i="23"/>
  <c r="AC105" i="9"/>
  <c r="Q95" i="17" s="1"/>
  <c r="AC106" i="9"/>
  <c r="M96" i="17"/>
  <c r="Y104" i="9"/>
  <c r="M94" i="17" s="1"/>
  <c r="V162" i="23"/>
  <c r="W162" i="23" s="1"/>
  <c r="AH193" i="9"/>
  <c r="V28" i="18" s="1"/>
  <c r="U72" i="17"/>
  <c r="AH75" i="9"/>
  <c r="V72" i="17" s="1"/>
  <c r="AG73" i="9"/>
  <c r="U17" i="21" s="1"/>
  <c r="AD73" i="9"/>
  <c r="R17" i="21" s="1"/>
  <c r="J36" i="21"/>
  <c r="AH231" i="9"/>
  <c r="V184" i="17" s="1"/>
  <c r="AD194" i="9"/>
  <c r="R29" i="18" s="1"/>
  <c r="AG194" i="9"/>
  <c r="Q29" i="18"/>
  <c r="AD167" i="9"/>
  <c r="R148" i="17" s="1"/>
  <c r="U190" i="17"/>
  <c r="AH237" i="9"/>
  <c r="V190" i="17" s="1"/>
  <c r="Q186" i="17"/>
  <c r="AG233" i="9"/>
  <c r="AD233" i="9"/>
  <c r="R186" i="17" s="1"/>
  <c r="N24" i="24"/>
  <c r="N26" i="24" s="1"/>
  <c r="N27" i="24" s="1"/>
  <c r="G199" i="17"/>
  <c r="Y199" i="17"/>
  <c r="N4" i="22" s="1"/>
  <c r="Y36" i="21"/>
  <c r="N8" i="22" s="1"/>
  <c r="N6" i="22"/>
  <c r="R34" i="21"/>
  <c r="N34" i="21"/>
  <c r="N32" i="18"/>
  <c r="J27" i="20"/>
  <c r="V77" i="17"/>
  <c r="V103" i="9"/>
  <c r="J93" i="17" s="1"/>
  <c r="AG116" i="9"/>
  <c r="U16" i="19" s="1"/>
  <c r="AD116" i="9"/>
  <c r="R16" i="19" s="1"/>
  <c r="V83" i="23"/>
  <c r="W83" i="23" s="1"/>
  <c r="K39" i="23"/>
  <c r="N39" i="23"/>
  <c r="AD161" i="9"/>
  <c r="R142" i="17" s="1"/>
  <c r="M8" i="15"/>
  <c r="E17" i="15" s="1"/>
  <c r="F259" i="23" s="1"/>
  <c r="J259" i="23" s="1"/>
  <c r="V183" i="9"/>
  <c r="J18" i="27" s="1"/>
  <c r="N101" i="17"/>
  <c r="N25" i="19"/>
  <c r="N27" i="19" s="1"/>
  <c r="N28" i="19" s="1"/>
  <c r="V89" i="23"/>
  <c r="W89" i="23" s="1"/>
  <c r="E24" i="15"/>
  <c r="F258" i="23" s="1"/>
  <c r="H258" i="23" s="1"/>
  <c r="S137" i="23"/>
  <c r="V137" i="23"/>
  <c r="W137" i="23" s="1"/>
  <c r="S94" i="23"/>
  <c r="V94" i="23"/>
  <c r="W94" i="23" s="1"/>
  <c r="S154" i="23"/>
  <c r="V154" i="23"/>
  <c r="W154" i="23" s="1"/>
  <c r="S43" i="23"/>
  <c r="V43" i="23"/>
  <c r="W43" i="23" s="1"/>
  <c r="Y183" i="9"/>
  <c r="AC183" i="9" s="1"/>
  <c r="AD183" i="9" s="1"/>
  <c r="R18" i="27" s="1"/>
  <c r="V12" i="23"/>
  <c r="W12" i="23" s="1"/>
  <c r="S12" i="23"/>
  <c r="V13" i="23"/>
  <c r="W13" i="23" s="1"/>
  <c r="S13" i="23"/>
  <c r="Y26" i="24"/>
  <c r="Y27" i="24" s="1"/>
  <c r="AD195" i="9"/>
  <c r="R30" i="18" s="1"/>
  <c r="Q30" i="18"/>
  <c r="AG195" i="9"/>
  <c r="Q62" i="17"/>
  <c r="AG63" i="9"/>
  <c r="U62" i="17" s="1"/>
  <c r="AD82" i="9"/>
  <c r="R16" i="20" s="1"/>
  <c r="AG82" i="9"/>
  <c r="Q16" i="20"/>
  <c r="AD127" i="9"/>
  <c r="R108" i="17" s="1"/>
  <c r="Q108" i="17"/>
  <c r="AG127" i="9"/>
  <c r="Q75" i="17"/>
  <c r="AG78" i="9"/>
  <c r="AD78" i="9"/>
  <c r="R75" i="17" s="1"/>
  <c r="AH235" i="9"/>
  <c r="V188" i="17" s="1"/>
  <c r="U188" i="17"/>
  <c r="U86" i="17"/>
  <c r="AH96" i="9"/>
  <c r="V86" i="17" s="1"/>
  <c r="AG170" i="9"/>
  <c r="U28" i="21" s="1"/>
  <c r="AD170" i="9"/>
  <c r="R28" i="21" s="1"/>
  <c r="AG135" i="9"/>
  <c r="Q116" i="17"/>
  <c r="AD135" i="9"/>
  <c r="R116" i="17" s="1"/>
  <c r="AG71" i="9"/>
  <c r="Q70" i="17"/>
  <c r="AD71" i="9"/>
  <c r="R70" i="17" s="1"/>
  <c r="Q101" i="17"/>
  <c r="Z86" i="9"/>
  <c r="N19" i="20" s="1"/>
  <c r="N24" i="20" s="1"/>
  <c r="N26" i="20" s="1"/>
  <c r="N27" i="20" s="1"/>
  <c r="AC86" i="9"/>
  <c r="M19" i="20"/>
  <c r="U189" i="17"/>
  <c r="AH236" i="9"/>
  <c r="V189" i="17" s="1"/>
  <c r="AG163" i="9"/>
  <c r="Q21" i="21"/>
  <c r="AD163" i="9"/>
  <c r="R21" i="21" s="1"/>
  <c r="AH139" i="9"/>
  <c r="V120" i="17" s="1"/>
  <c r="U120" i="17"/>
  <c r="AH191" i="9"/>
  <c r="V26" i="27" s="1"/>
  <c r="U26" i="27"/>
  <c r="Q117" i="17"/>
  <c r="AG136" i="9"/>
  <c r="AD136" i="9"/>
  <c r="R117" i="17" s="1"/>
  <c r="Q30" i="21"/>
  <c r="AD175" i="9"/>
  <c r="R30" i="21" s="1"/>
  <c r="AG175" i="9"/>
  <c r="AG72" i="9"/>
  <c r="U16" i="21" s="1"/>
  <c r="AD72" i="9"/>
  <c r="R16" i="21" s="1"/>
  <c r="AH177" i="9"/>
  <c r="V21" i="24" s="1"/>
  <c r="AG133" i="9"/>
  <c r="AD133" i="9"/>
  <c r="R114" i="17" s="1"/>
  <c r="Q114" i="17"/>
  <c r="Q57" i="17"/>
  <c r="AD58" i="9"/>
  <c r="R57" i="17" s="1"/>
  <c r="AG58" i="9"/>
  <c r="Q110" i="17"/>
  <c r="AD129" i="9"/>
  <c r="R110" i="17" s="1"/>
  <c r="AG129" i="9"/>
  <c r="AH79" i="9"/>
  <c r="V76" i="17" s="1"/>
  <c r="U76" i="17"/>
  <c r="AH171" i="9"/>
  <c r="V17" i="24" s="1"/>
  <c r="U17" i="24"/>
  <c r="AD176" i="9"/>
  <c r="R31" i="21" s="1"/>
  <c r="AD137" i="9"/>
  <c r="R118" i="17" s="1"/>
  <c r="AG137" i="9"/>
  <c r="Q118" i="17"/>
  <c r="U88" i="17"/>
  <c r="AH98" i="9"/>
  <c r="V88" i="17" s="1"/>
  <c r="Q20" i="21"/>
  <c r="AD162" i="9"/>
  <c r="R20" i="21" s="1"/>
  <c r="AG162" i="9"/>
  <c r="U112" i="17"/>
  <c r="Q69" i="17"/>
  <c r="AG70" i="9"/>
  <c r="AD70" i="9"/>
  <c r="R69" i="17" s="1"/>
  <c r="AG60" i="9"/>
  <c r="Q59" i="17"/>
  <c r="AD60" i="9"/>
  <c r="R59" i="17" s="1"/>
  <c r="N99" i="17"/>
  <c r="AH164" i="9"/>
  <c r="V145" i="17" s="1"/>
  <c r="AG108" i="9"/>
  <c r="AD108" i="9"/>
  <c r="Q98" i="17"/>
  <c r="AH179" i="9"/>
  <c r="U34" i="21"/>
  <c r="Q18" i="20"/>
  <c r="AD85" i="9"/>
  <c r="R18" i="20" s="1"/>
  <c r="AG85" i="9"/>
  <c r="V53" i="17"/>
  <c r="AG87" i="9"/>
  <c r="Q20" i="20"/>
  <c r="AD87" i="9"/>
  <c r="R20" i="20" s="1"/>
  <c r="U54" i="17"/>
  <c r="R54" i="17"/>
  <c r="Q99" i="17"/>
  <c r="U61" i="17"/>
  <c r="AH62" i="9"/>
  <c r="V61" i="17" s="1"/>
  <c r="U74" i="17"/>
  <c r="AH77" i="9"/>
  <c r="V74" i="17" s="1"/>
  <c r="N98" i="17"/>
  <c r="U122" i="17"/>
  <c r="AH141" i="9"/>
  <c r="V122" i="17" s="1"/>
  <c r="AH59" i="9"/>
  <c r="V58" i="17" s="1"/>
  <c r="AH130" i="9"/>
  <c r="V111" i="17" s="1"/>
  <c r="U111" i="17"/>
  <c r="U119" i="17"/>
  <c r="AH138" i="9"/>
  <c r="V119" i="17" s="1"/>
  <c r="AG64" i="9"/>
  <c r="Q63" i="17"/>
  <c r="AD64" i="9"/>
  <c r="R63" i="17" s="1"/>
  <c r="AH89" i="9"/>
  <c r="V22" i="20" s="1"/>
  <c r="U22" i="20"/>
  <c r="U60" i="17"/>
  <c r="AH61" i="9"/>
  <c r="V60" i="17" s="1"/>
  <c r="U67" i="17"/>
  <c r="AH68" i="9"/>
  <c r="V67" i="17" s="1"/>
  <c r="U66" i="17"/>
  <c r="AH67" i="9"/>
  <c r="V66" i="17" s="1"/>
  <c r="AH178" i="9"/>
  <c r="V22" i="24" s="1"/>
  <c r="AH91" i="9"/>
  <c r="V81" i="17" s="1"/>
  <c r="U81" i="17"/>
  <c r="U65" i="17"/>
  <c r="AH66" i="9"/>
  <c r="V65" i="17" s="1"/>
  <c r="V27" i="23"/>
  <c r="W27" i="23" s="1"/>
  <c r="S136" i="23"/>
  <c r="V136" i="23"/>
  <c r="W136" i="23" s="1"/>
  <c r="S163" i="23"/>
  <c r="V163" i="23"/>
  <c r="W163" i="23" s="1"/>
  <c r="S84" i="23"/>
  <c r="V84" i="23"/>
  <c r="W84" i="23" s="1"/>
  <c r="S44" i="23"/>
  <c r="V44" i="23"/>
  <c r="W44" i="23" s="1"/>
  <c r="V153" i="23"/>
  <c r="W153" i="23" s="1"/>
  <c r="S153" i="23"/>
  <c r="S167" i="23"/>
  <c r="V167" i="23"/>
  <c r="W167" i="23" s="1"/>
  <c r="S86" i="23"/>
  <c r="V86" i="23"/>
  <c r="W86" i="23" s="1"/>
  <c r="V49" i="23"/>
  <c r="W49" i="23" s="1"/>
  <c r="S49" i="23"/>
  <c r="S157" i="23"/>
  <c r="V157" i="23"/>
  <c r="W157" i="23" s="1"/>
  <c r="V155" i="23"/>
  <c r="W155" i="23" s="1"/>
  <c r="S155" i="23"/>
  <c r="S45" i="23"/>
  <c r="V45" i="23"/>
  <c r="W45" i="23" s="1"/>
  <c r="S88" i="23"/>
  <c r="V88" i="23"/>
  <c r="W88" i="23" s="1"/>
  <c r="V158" i="23"/>
  <c r="W158" i="23" s="1"/>
  <c r="S158" i="23"/>
  <c r="S135" i="23"/>
  <c r="V135" i="23"/>
  <c r="W135" i="23" s="1"/>
  <c r="S149" i="23"/>
  <c r="V149" i="23"/>
  <c r="W149" i="23" s="1"/>
  <c r="V148" i="23"/>
  <c r="W148" i="23" s="1"/>
  <c r="S148" i="23"/>
  <c r="S38" i="23"/>
  <c r="V38" i="23"/>
  <c r="W38" i="23" s="1"/>
  <c r="N141" i="23"/>
  <c r="O141" i="23" s="1"/>
  <c r="N147" i="23"/>
  <c r="O147" i="23" s="1"/>
  <c r="AD97" i="9"/>
  <c r="R87" i="17" s="1"/>
  <c r="N138" i="23"/>
  <c r="AC99" i="9"/>
  <c r="M89" i="17"/>
  <c r="Z99" i="9"/>
  <c r="N89" i="17" s="1"/>
  <c r="S25" i="23"/>
  <c r="V25" i="23"/>
  <c r="W25" i="23" s="1"/>
  <c r="K262" i="23"/>
  <c r="F16" i="27"/>
  <c r="V188" i="9"/>
  <c r="J23" i="27" s="1"/>
  <c r="I23" i="27"/>
  <c r="Y188" i="9"/>
  <c r="J257" i="23"/>
  <c r="K257" i="23" s="1"/>
  <c r="S262" i="23"/>
  <c r="V262" i="23"/>
  <c r="W262" i="23" s="1"/>
  <c r="Q87" i="17"/>
  <c r="O262" i="23"/>
  <c r="U181" i="9"/>
  <c r="G16" i="27"/>
  <c r="E5" i="15"/>
  <c r="F261" i="23" s="1"/>
  <c r="H261" i="23" s="1"/>
  <c r="N151" i="23"/>
  <c r="K151" i="23"/>
  <c r="M83" i="17"/>
  <c r="AC93" i="9"/>
  <c r="Z93" i="9"/>
  <c r="N83" i="17" s="1"/>
  <c r="AC184" i="9"/>
  <c r="AG184" i="9" s="1"/>
  <c r="M19" i="27"/>
  <c r="AC187" i="9"/>
  <c r="Z187" i="9"/>
  <c r="N22" i="27" s="1"/>
  <c r="M22" i="27"/>
  <c r="AH97" i="9"/>
  <c r="U87" i="17"/>
  <c r="Z185" i="9"/>
  <c r="AC185" i="9"/>
  <c r="M20" i="27"/>
  <c r="H260" i="23"/>
  <c r="J260" i="23"/>
  <c r="Z189" i="9"/>
  <c r="N24" i="27" s="1"/>
  <c r="M24" i="27"/>
  <c r="AC189" i="9"/>
  <c r="R145" i="23"/>
  <c r="O145" i="23"/>
  <c r="AH144" i="9" l="1"/>
  <c r="V125" i="17" s="1"/>
  <c r="AH19" i="9"/>
  <c r="V18" i="17" s="1"/>
  <c r="U18" i="17"/>
  <c r="AH18" i="9"/>
  <c r="V17" i="17" s="1"/>
  <c r="U191" i="17"/>
  <c r="J38" i="21"/>
  <c r="J39" i="21" s="1"/>
  <c r="N34" i="18"/>
  <c r="N35" i="18" s="1"/>
  <c r="Y201" i="17"/>
  <c r="Y202" i="17" s="1"/>
  <c r="AH165" i="9"/>
  <c r="V146" i="17" s="1"/>
  <c r="U16" i="17"/>
  <c r="AH84" i="9"/>
  <c r="V17" i="20" s="1"/>
  <c r="AH167" i="9"/>
  <c r="V148" i="17" s="1"/>
  <c r="S152" i="23"/>
  <c r="AH140" i="9"/>
  <c r="V121" i="17" s="1"/>
  <c r="U121" i="17"/>
  <c r="N36" i="21"/>
  <c r="N38" i="21" s="1"/>
  <c r="N39" i="21" s="1"/>
  <c r="AK248" i="9"/>
  <c r="AK249" i="9" s="1"/>
  <c r="AD92" i="9"/>
  <c r="R82" i="17" s="1"/>
  <c r="AG92" i="9"/>
  <c r="Q82" i="17"/>
  <c r="U109" i="17"/>
  <c r="U106" i="17"/>
  <c r="AH161" i="9"/>
  <c r="V142" i="17" s="1"/>
  <c r="AG102" i="9"/>
  <c r="U92" i="17" s="1"/>
  <c r="G32" i="27"/>
  <c r="Y34" i="27" s="1"/>
  <c r="Y35" i="27" s="1"/>
  <c r="AC103" i="9"/>
  <c r="Q93" i="17" s="1"/>
  <c r="G251" i="9"/>
  <c r="I4" i="22" s="1"/>
  <c r="AH182" i="9"/>
  <c r="V17" i="27" s="1"/>
  <c r="AD102" i="9"/>
  <c r="R92" i="17" s="1"/>
  <c r="Z103" i="9"/>
  <c r="N93" i="17" s="1"/>
  <c r="O143" i="23"/>
  <c r="R143" i="23"/>
  <c r="O144" i="23"/>
  <c r="R144" i="23"/>
  <c r="I16" i="27"/>
  <c r="U124" i="17"/>
  <c r="AH143" i="9"/>
  <c r="V124" i="17" s="1"/>
  <c r="S251" i="23"/>
  <c r="V251" i="23"/>
  <c r="W251" i="23" s="1"/>
  <c r="V252" i="23"/>
  <c r="W252" i="23" s="1"/>
  <c r="S252" i="23"/>
  <c r="AC104" i="9"/>
  <c r="Q94" i="17" s="1"/>
  <c r="Z104" i="9"/>
  <c r="N94" i="17" s="1"/>
  <c r="AG106" i="9"/>
  <c r="Q96" i="17"/>
  <c r="AD106" i="9"/>
  <c r="R96" i="17" s="1"/>
  <c r="AG105" i="9"/>
  <c r="U95" i="17" s="1"/>
  <c r="AD105" i="9"/>
  <c r="R95" i="17" s="1"/>
  <c r="AH73" i="9"/>
  <c r="V17" i="21" s="1"/>
  <c r="R24" i="24"/>
  <c r="R26" i="24" s="1"/>
  <c r="R27" i="24" s="1"/>
  <c r="AH63" i="9"/>
  <c r="V62" i="17" s="1"/>
  <c r="U29" i="18"/>
  <c r="AH194" i="9"/>
  <c r="V29" i="18" s="1"/>
  <c r="R32" i="18"/>
  <c r="Y38" i="21"/>
  <c r="Y39" i="21" s="1"/>
  <c r="AH233" i="9"/>
  <c r="V186" i="17" s="1"/>
  <c r="U186" i="17"/>
  <c r="N11" i="22"/>
  <c r="V34" i="21"/>
  <c r="AH116" i="9"/>
  <c r="V16" i="19" s="1"/>
  <c r="O39" i="23"/>
  <c r="R39" i="23"/>
  <c r="AG183" i="9"/>
  <c r="U18" i="27" s="1"/>
  <c r="M18" i="27"/>
  <c r="Q18" i="27"/>
  <c r="Z183" i="9"/>
  <c r="N18" i="27" s="1"/>
  <c r="R101" i="17"/>
  <c r="R25" i="19"/>
  <c r="R27" i="19" s="1"/>
  <c r="R28" i="19" s="1"/>
  <c r="J258" i="23"/>
  <c r="K258" i="23" s="1"/>
  <c r="H259" i="23"/>
  <c r="R36" i="21"/>
  <c r="AH195" i="9"/>
  <c r="V30" i="18" s="1"/>
  <c r="U30" i="18"/>
  <c r="AH127" i="9"/>
  <c r="V108" i="17" s="1"/>
  <c r="U108" i="17"/>
  <c r="U16" i="20"/>
  <c r="AH82" i="9"/>
  <c r="V16" i="20" s="1"/>
  <c r="U101" i="17"/>
  <c r="U117" i="17"/>
  <c r="AH136" i="9"/>
  <c r="V117" i="17" s="1"/>
  <c r="AH163" i="9"/>
  <c r="V21" i="21" s="1"/>
  <c r="U21" i="21"/>
  <c r="AH72" i="9"/>
  <c r="V16" i="21" s="1"/>
  <c r="U116" i="17"/>
  <c r="AH135" i="9"/>
  <c r="V116" i="17" s="1"/>
  <c r="U30" i="21"/>
  <c r="AH175" i="9"/>
  <c r="V30" i="21" s="1"/>
  <c r="AH71" i="9"/>
  <c r="V70" i="17" s="1"/>
  <c r="U70" i="17"/>
  <c r="AH170" i="9"/>
  <c r="V28" i="21" s="1"/>
  <c r="AH78" i="9"/>
  <c r="V75" i="17" s="1"/>
  <c r="U75" i="17"/>
  <c r="Y181" i="9"/>
  <c r="AG86" i="9"/>
  <c r="AD86" i="9"/>
  <c r="R19" i="20" s="1"/>
  <c r="R24" i="20" s="1"/>
  <c r="Q19" i="20"/>
  <c r="U57" i="17"/>
  <c r="AH58" i="9"/>
  <c r="V57" i="17" s="1"/>
  <c r="U69" i="17"/>
  <c r="AH70" i="9"/>
  <c r="V69" i="17" s="1"/>
  <c r="Q19" i="27"/>
  <c r="AH162" i="9"/>
  <c r="V20" i="21" s="1"/>
  <c r="U20" i="21"/>
  <c r="AH137" i="9"/>
  <c r="V118" i="17" s="1"/>
  <c r="U118" i="17"/>
  <c r="U114" i="17"/>
  <c r="AH133" i="9"/>
  <c r="V114" i="17" s="1"/>
  <c r="AH176" i="9"/>
  <c r="V31" i="21" s="1"/>
  <c r="U110" i="17"/>
  <c r="AH129" i="9"/>
  <c r="V110" i="17" s="1"/>
  <c r="AH87" i="9"/>
  <c r="V20" i="20" s="1"/>
  <c r="U20" i="20"/>
  <c r="U18" i="20"/>
  <c r="AH85" i="9"/>
  <c r="V18" i="20" s="1"/>
  <c r="AH108" i="9"/>
  <c r="U98" i="17"/>
  <c r="V181" i="9"/>
  <c r="V246" i="9" s="1"/>
  <c r="V54" i="17"/>
  <c r="U59" i="17"/>
  <c r="AH60" i="9"/>
  <c r="V59" i="17" s="1"/>
  <c r="R99" i="17"/>
  <c r="U63" i="17"/>
  <c r="AH64" i="9"/>
  <c r="V63" i="17" s="1"/>
  <c r="U99" i="17"/>
  <c r="R98" i="17"/>
  <c r="R147" i="23"/>
  <c r="S147" i="23" s="1"/>
  <c r="R141" i="23"/>
  <c r="O138" i="23"/>
  <c r="R138" i="23"/>
  <c r="AG99" i="9"/>
  <c r="Q89" i="17"/>
  <c r="AD99" i="9"/>
  <c r="R89" i="17" s="1"/>
  <c r="N257" i="23"/>
  <c r="R257" i="23" s="1"/>
  <c r="J261" i="23"/>
  <c r="N261" i="23" s="1"/>
  <c r="R261" i="23" s="1"/>
  <c r="Z188" i="9"/>
  <c r="N23" i="27" s="1"/>
  <c r="M23" i="27"/>
  <c r="AC188" i="9"/>
  <c r="Q83" i="17"/>
  <c r="AD93" i="9"/>
  <c r="R83" i="17" s="1"/>
  <c r="AG93" i="9"/>
  <c r="AD184" i="9"/>
  <c r="R19" i="27" s="1"/>
  <c r="O151" i="23"/>
  <c r="R151" i="23"/>
  <c r="AG185" i="9"/>
  <c r="Q20" i="27"/>
  <c r="AD185" i="9"/>
  <c r="R20" i="27" s="1"/>
  <c r="Q22" i="27"/>
  <c r="AD187" i="9"/>
  <c r="R22" i="27" s="1"/>
  <c r="AG187" i="9"/>
  <c r="N20" i="27"/>
  <c r="N259" i="23"/>
  <c r="K259" i="23"/>
  <c r="AH184" i="9"/>
  <c r="V19" i="27" s="1"/>
  <c r="U19" i="27"/>
  <c r="AD189" i="9"/>
  <c r="R24" i="27" s="1"/>
  <c r="AG189" i="9"/>
  <c r="Q24" i="27"/>
  <c r="V87" i="17"/>
  <c r="N260" i="23"/>
  <c r="K260" i="23"/>
  <c r="S145" i="23"/>
  <c r="V145" i="23"/>
  <c r="W145" i="23" s="1"/>
  <c r="R26" i="20" l="1"/>
  <c r="R27" i="20" s="1"/>
  <c r="R34" i="18"/>
  <c r="R35" i="18" s="1"/>
  <c r="H275" i="23"/>
  <c r="G252" i="9" s="1"/>
  <c r="I5" i="22" s="1"/>
  <c r="I13" i="22" s="1"/>
  <c r="I11" i="22"/>
  <c r="I29" i="22"/>
  <c r="R38" i="21"/>
  <c r="R39" i="21" s="1"/>
  <c r="V248" i="9"/>
  <c r="V249" i="9" s="1"/>
  <c r="AH92" i="9"/>
  <c r="V82" i="17" s="1"/>
  <c r="U82" i="17"/>
  <c r="AH102" i="9"/>
  <c r="V92" i="17" s="1"/>
  <c r="N23" i="22"/>
  <c r="L24" i="22"/>
  <c r="N24" i="22" s="1"/>
  <c r="AD103" i="9"/>
  <c r="R93" i="17" s="1"/>
  <c r="AG103" i="9"/>
  <c r="U93" i="17" s="1"/>
  <c r="S144" i="23"/>
  <c r="V144" i="23"/>
  <c r="W144" i="23" s="1"/>
  <c r="S143" i="23"/>
  <c r="V143" i="23"/>
  <c r="W143" i="23" s="1"/>
  <c r="AC181" i="9"/>
  <c r="J16" i="27"/>
  <c r="J32" i="27" s="1"/>
  <c r="J34" i="27" s="1"/>
  <c r="J35" i="27" s="1"/>
  <c r="J199" i="17"/>
  <c r="J201" i="17" s="1"/>
  <c r="J202" i="17" s="1"/>
  <c r="AH105" i="9"/>
  <c r="V95" i="17" s="1"/>
  <c r="AH106" i="9"/>
  <c r="V96" i="17" s="1"/>
  <c r="U96" i="17"/>
  <c r="AG104" i="9"/>
  <c r="U94" i="17" s="1"/>
  <c r="AD104" i="9"/>
  <c r="R94" i="17" s="1"/>
  <c r="V32" i="18"/>
  <c r="V24" i="24"/>
  <c r="V26" i="24" s="1"/>
  <c r="V27" i="24" s="1"/>
  <c r="S39" i="23"/>
  <c r="V39" i="23"/>
  <c r="W39" i="23" s="1"/>
  <c r="AH183" i="9"/>
  <c r="V18" i="27" s="1"/>
  <c r="V101" i="17"/>
  <c r="V25" i="19"/>
  <c r="V27" i="19" s="1"/>
  <c r="V28" i="19" s="1"/>
  <c r="N258" i="23"/>
  <c r="R258" i="23" s="1"/>
  <c r="S258" i="23" s="1"/>
  <c r="Z181" i="9"/>
  <c r="Z246" i="9" s="1"/>
  <c r="Z248" i="9" s="1"/>
  <c r="Z249" i="9" s="1"/>
  <c r="V36" i="21"/>
  <c r="V38" i="21" s="1"/>
  <c r="V39" i="21" s="1"/>
  <c r="M16" i="27"/>
  <c r="U19" i="20"/>
  <c r="AH86" i="9"/>
  <c r="V19" i="20" s="1"/>
  <c r="V24" i="20" s="1"/>
  <c r="V26" i="20" s="1"/>
  <c r="V27" i="20" s="1"/>
  <c r="V98" i="17"/>
  <c r="V99" i="17"/>
  <c r="V147" i="23"/>
  <c r="W147" i="23" s="1"/>
  <c r="S141" i="23"/>
  <c r="V141" i="23"/>
  <c r="W141" i="23" s="1"/>
  <c r="V138" i="23"/>
  <c r="W138" i="23" s="1"/>
  <c r="S138" i="23"/>
  <c r="AH99" i="9"/>
  <c r="V89" i="17" s="1"/>
  <c r="U89" i="17"/>
  <c r="O257" i="23"/>
  <c r="K261" i="23"/>
  <c r="K275" i="23" s="1"/>
  <c r="O261" i="23"/>
  <c r="AG188" i="9"/>
  <c r="AD188" i="9"/>
  <c r="R23" i="27" s="1"/>
  <c r="Q23" i="27"/>
  <c r="S151" i="23"/>
  <c r="V151" i="23"/>
  <c r="W151" i="23" s="1"/>
  <c r="U83" i="17"/>
  <c r="AH93" i="9"/>
  <c r="V83" i="17" s="1"/>
  <c r="R259" i="23"/>
  <c r="O259" i="23"/>
  <c r="V257" i="23"/>
  <c r="W257" i="23" s="1"/>
  <c r="S257" i="23"/>
  <c r="AH187" i="9"/>
  <c r="V22" i="27" s="1"/>
  <c r="U22" i="27"/>
  <c r="R260" i="23"/>
  <c r="O260" i="23"/>
  <c r="AH185" i="9"/>
  <c r="V20" i="27" s="1"/>
  <c r="U20" i="27"/>
  <c r="S261" i="23"/>
  <c r="V261" i="23"/>
  <c r="W261" i="23" s="1"/>
  <c r="U24" i="27"/>
  <c r="AH189" i="9"/>
  <c r="V24" i="27" s="1"/>
  <c r="V34" i="18" l="1"/>
  <c r="V35" i="18" s="1"/>
  <c r="K277" i="23"/>
  <c r="K278" i="23" s="1"/>
  <c r="AH103" i="9"/>
  <c r="V93" i="17" s="1"/>
  <c r="L17" i="22"/>
  <c r="M17" i="22" s="1"/>
  <c r="N16" i="27"/>
  <c r="N32" i="27" s="1"/>
  <c r="N199" i="17"/>
  <c r="N201" i="17" s="1"/>
  <c r="N202" i="17" s="1"/>
  <c r="Q16" i="27"/>
  <c r="AG181" i="9"/>
  <c r="U16" i="27" s="1"/>
  <c r="AD181" i="9"/>
  <c r="AD246" i="9" s="1"/>
  <c r="AD248" i="9" s="1"/>
  <c r="AD249" i="9" s="1"/>
  <c r="G253" i="9"/>
  <c r="I6" i="22"/>
  <c r="AH104" i="9"/>
  <c r="V94" i="17" s="1"/>
  <c r="O258" i="23"/>
  <c r="O275" i="23" s="1"/>
  <c r="O277" i="23" s="1"/>
  <c r="O278" i="23" s="1"/>
  <c r="V258" i="23"/>
  <c r="W258" i="23" s="1"/>
  <c r="AH188" i="9"/>
  <c r="V23" i="27" s="1"/>
  <c r="U23" i="27"/>
  <c r="S260" i="23"/>
  <c r="V260" i="23"/>
  <c r="W260" i="23" s="1"/>
  <c r="S259" i="23"/>
  <c r="V259" i="23"/>
  <c r="W259" i="23" s="1"/>
  <c r="N34" i="27" l="1"/>
  <c r="N35" i="27" s="1"/>
  <c r="I30" i="22"/>
  <c r="I19" i="22"/>
  <c r="I20" i="22" s="1"/>
  <c r="N17" i="22"/>
  <c r="L19" i="22"/>
  <c r="L18" i="22"/>
  <c r="R16" i="27"/>
  <c r="R32" i="27" s="1"/>
  <c r="R199" i="17"/>
  <c r="R201" i="17" s="1"/>
  <c r="R202" i="17" s="1"/>
  <c r="AH181" i="9"/>
  <c r="AH246" i="9" s="1"/>
  <c r="AH248" i="9" s="1"/>
  <c r="AH249" i="9" s="1"/>
  <c r="W275" i="23"/>
  <c r="S275" i="23"/>
  <c r="S277" i="23" s="1"/>
  <c r="S278" i="23" s="1"/>
  <c r="R34" i="27" l="1"/>
  <c r="R35" i="27" s="1"/>
  <c r="W277" i="23"/>
  <c r="W278" i="23" s="1"/>
  <c r="N19" i="22"/>
  <c r="O19" i="22" s="1"/>
  <c r="N18" i="22"/>
  <c r="O18" i="22" s="1"/>
  <c r="P17" i="22"/>
  <c r="Q17" i="22" s="1"/>
  <c r="O17" i="22"/>
  <c r="L20" i="22"/>
  <c r="M18" i="22"/>
  <c r="M19" i="22"/>
  <c r="V16" i="27"/>
  <c r="V32" i="27" s="1"/>
  <c r="V199" i="17"/>
  <c r="V201" i="17" s="1"/>
  <c r="V202" i="17" s="1"/>
  <c r="N20" i="22" l="1"/>
  <c r="O20" i="22" s="1"/>
  <c r="V34" i="27"/>
  <c r="V35" i="27" s="1"/>
  <c r="P19" i="22"/>
  <c r="Q19" i="22" s="1"/>
  <c r="P18" i="22"/>
  <c r="Q18" i="22" s="1"/>
  <c r="M20" i="22"/>
  <c r="B1" i="17"/>
  <c r="B1" i="18"/>
  <c r="B1" i="19"/>
  <c r="B1" i="20"/>
  <c r="B1" i="21"/>
  <c r="B1" i="27"/>
  <c r="B1" i="22"/>
  <c r="B1" i="24"/>
  <c r="B1" i="9"/>
  <c r="P20" i="22" l="1"/>
  <c r="Q20" i="2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George Fevrier</author>
  </authors>
  <commentList>
    <comment ref="B4" authorId="0" shapeId="0" xr:uid="{15D24A52-05CE-43B3-AFB1-C9FBC5E570C4}">
      <text>
        <r>
          <rPr>
            <b/>
            <sz val="9"/>
            <color indexed="81"/>
            <rFont val="Tahoma"/>
            <family val="2"/>
          </rPr>
          <t>George Fevrier:</t>
        </r>
        <r>
          <rPr>
            <sz val="9"/>
            <color indexed="81"/>
            <rFont val="Tahoma"/>
            <family val="2"/>
          </rPr>
          <t xml:space="preserve">
This is the Project Number:
eg: COJAADA005</t>
        </r>
      </text>
    </comment>
    <comment ref="B5" authorId="0" shapeId="0" xr:uid="{F40541FD-9834-4929-9976-7B0009A9F6E2}">
      <text>
        <r>
          <rPr>
            <b/>
            <sz val="9"/>
            <color indexed="81"/>
            <rFont val="Tahoma"/>
            <family val="2"/>
          </rPr>
          <t>George Fevrier:</t>
        </r>
        <r>
          <rPr>
            <sz val="9"/>
            <color indexed="81"/>
            <rFont val="Tahoma"/>
            <family val="2"/>
          </rPr>
          <t xml:space="preserve">
This is the Circuit ID:
eg: 57G0000452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ndumisok</author>
  </authors>
  <commentList>
    <comment ref="C75" authorId="0" shapeId="0" xr:uid="{00000000-0006-0000-0100-000001000000}">
      <text>
        <r>
          <rPr>
            <b/>
            <sz val="9"/>
            <color rgb="FF000000"/>
            <rFont val="Tahoma"/>
            <family val="2"/>
          </rPr>
          <t>Not to form part of EXE, will be done on VO based on site instruction from PL.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ndumisok</author>
  </authors>
  <commentList>
    <comment ref="H9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Splice Points:</t>
        </r>
        <r>
          <rPr>
            <sz val="9"/>
            <color indexed="81"/>
            <rFont val="Tahoma"/>
            <family val="2"/>
          </rPr>
          <t xml:space="preserve">
To be adjusted to actual number of splices of the New/Existing Link.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ndumisok</author>
  </authors>
  <commentList>
    <comment ref="C72" authorId="0" shapeId="0" xr:uid="{00000000-0006-0000-0B00-000001000000}">
      <text>
        <r>
          <rPr>
            <b/>
            <sz val="9"/>
            <color rgb="FF000000"/>
            <rFont val="Tahoma"/>
            <family val="2"/>
          </rPr>
          <t>Not to form part of EXE, will be done on VO based on site instruction from PL.</t>
        </r>
      </text>
    </comment>
    <comment ref="C79" authorId="0" shapeId="0" xr:uid="{16837B15-593E-44C3-A3ED-9148D2709A16}">
      <text>
        <r>
          <rPr>
            <b/>
            <sz val="9"/>
            <color rgb="FF000000"/>
            <rFont val="Tahoma"/>
            <family val="2"/>
          </rPr>
          <t>Not to form part of EXE, will be done on VO based on site instruction from PL.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ndumisok</author>
  </authors>
  <commentList>
    <comment ref="C75" authorId="0" shapeId="0" xr:uid="{00000000-0006-0000-1200-000001000000}">
      <text>
        <r>
          <rPr>
            <b/>
            <sz val="9"/>
            <color rgb="FF000000"/>
            <rFont val="Tahoma"/>
            <family val="2"/>
          </rPr>
          <t>Not to form part of EXE, will be done on VO based on site instruction from PL.</t>
        </r>
      </text>
    </comment>
  </commentList>
</comments>
</file>

<file path=xl/sharedStrings.xml><?xml version="1.0" encoding="utf-8"?>
<sst xmlns="http://schemas.openxmlformats.org/spreadsheetml/2006/main" count="2733" uniqueCount="1278">
  <si>
    <t>Customer Name</t>
  </si>
  <si>
    <t>Project No. / Planning Ref</t>
  </si>
  <si>
    <t>Affected Region/s</t>
  </si>
  <si>
    <t>Planning Date</t>
  </si>
  <si>
    <t>ITEM</t>
  </si>
  <si>
    <t>Total</t>
  </si>
  <si>
    <t>MATERIAL MANAGEMENT</t>
  </si>
  <si>
    <t>TRENCHING</t>
  </si>
  <si>
    <t>Build single brick retaining wall</t>
  </si>
  <si>
    <t>Build double brick retaining wall</t>
  </si>
  <si>
    <t>PIPES AND DUCTS</t>
  </si>
  <si>
    <t>SURFACE RE-INSTATEMENTS</t>
  </si>
  <si>
    <t>MANHOLES</t>
  </si>
  <si>
    <t>IN-BUILDING INSTALLATION</t>
  </si>
  <si>
    <t xml:space="preserve">Supply and Install 50mm galvanised bosal against building (exceeding 2 storey high) </t>
  </si>
  <si>
    <t>CABLE FLOATING AND HAULING</t>
  </si>
  <si>
    <t xml:space="preserve">Pre haul optic fibre cable test (per fibre) </t>
  </si>
  <si>
    <t xml:space="preserve">Post haul optic fibre cable test (per fibre) </t>
  </si>
  <si>
    <t>AS-BUILT DOCUMENTATION</t>
  </si>
  <si>
    <t>ADDITIONAL</t>
  </si>
  <si>
    <t xml:space="preserve">Portable toilet hire </t>
  </si>
  <si>
    <t>Removal of Waste Material</t>
  </si>
  <si>
    <t>Per Site</t>
  </si>
  <si>
    <t>m</t>
  </si>
  <si>
    <t>m³</t>
  </si>
  <si>
    <t>m²</t>
  </si>
  <si>
    <t>each</t>
  </si>
  <si>
    <t>Excavation of intermediate rock in trench</t>
  </si>
  <si>
    <t>Supply and place city duct markers including painting with yellow road marking paint</t>
  </si>
  <si>
    <t>Supply and install interlocking block retaining wall</t>
  </si>
  <si>
    <t>UNIT</t>
  </si>
  <si>
    <t>QTY</t>
  </si>
  <si>
    <t>COST</t>
  </si>
  <si>
    <t>DESCRIPTION</t>
  </si>
  <si>
    <t>COST RATE</t>
  </si>
  <si>
    <t>FR-ISS 2</t>
  </si>
  <si>
    <t>FR-ISS 3</t>
  </si>
  <si>
    <t>144 FOCUS Optic Fibre Cable</t>
  </si>
  <si>
    <t>FR-ISS 4</t>
  </si>
  <si>
    <t>Straight manifold  14 purple</t>
  </si>
  <si>
    <t>FR-ISS 6</t>
  </si>
  <si>
    <t>Straight manifold  18 purple</t>
  </si>
  <si>
    <t>FR-ISS 7</t>
  </si>
  <si>
    <t>Left hand manifold  black</t>
  </si>
  <si>
    <t>Right hand manifold  Black and purple</t>
  </si>
  <si>
    <t>Wishbone manifold  purple and Black</t>
  </si>
  <si>
    <t>Resin and Hardener</t>
  </si>
  <si>
    <t>Waterplug</t>
  </si>
  <si>
    <t>Spax screws  75 x 40mm</t>
  </si>
  <si>
    <t>Washers</t>
  </si>
  <si>
    <t>Clips</t>
  </si>
  <si>
    <t>Manhole lids with Frames</t>
  </si>
  <si>
    <t>Manhole lids only</t>
  </si>
  <si>
    <t>Manhole lid Key</t>
  </si>
  <si>
    <t>1130mm coping concrete</t>
  </si>
  <si>
    <t>FR-ISS 25</t>
  </si>
  <si>
    <t>FIST Mechanical Gel Seal - 4 port</t>
  </si>
  <si>
    <t>FR-ISS 26</t>
  </si>
  <si>
    <t>FMT Slack Management Tray and FOMS 48F Termination Panel</t>
  </si>
  <si>
    <t>TOTAL</t>
  </si>
  <si>
    <t xml:space="preserve"> </t>
  </si>
  <si>
    <t>Supply and install 50mm pvc pipe (2 storey high)</t>
  </si>
  <si>
    <t>Supply and install 50mm pvc pipe (exceeding 2 storey high)</t>
  </si>
  <si>
    <t>NO</t>
  </si>
  <si>
    <t>UNIT PRICE</t>
  </si>
  <si>
    <t>Total
(OSP)</t>
  </si>
  <si>
    <t>Collect and delivery of material to Site (&gt;60km) Per Site</t>
  </si>
  <si>
    <t>Excavation of trial pit (400mm width  x 1000mm length x 1200mm depth)</t>
  </si>
  <si>
    <t>Excavation of hard rock in trench</t>
  </si>
  <si>
    <t xml:space="preserve">ea </t>
  </si>
  <si>
    <t xml:space="preserve">Supply and install concrete slab for duct protection (300mmx700mmx50mm or as otherwise specified) </t>
  </si>
  <si>
    <t>ea</t>
  </si>
  <si>
    <t>Supply and install 110mm steel pipe in open trench</t>
  </si>
  <si>
    <t xml:space="preserve">Supply and install bedding and padding </t>
  </si>
  <si>
    <t xml:space="preserve">Supply and install of import backfilling material </t>
  </si>
  <si>
    <t>Concrete encasement of pipes (labour and 20 mpa concrete) 300mm width x 220mm depth</t>
  </si>
  <si>
    <t xml:space="preserve">Supply and install cast concrete slab for duct protection 300mm width x 100mm depth </t>
  </si>
  <si>
    <t xml:space="preserve">Re-instatement of grass </t>
  </si>
  <si>
    <t>Construct double skin clay brick and mortar manhole including frame and cover (1000mm length x 1000mm width x 1000mm depth - inside dimensions)</t>
  </si>
  <si>
    <t xml:space="preserve">SPECIALISED CROSSINGS </t>
  </si>
  <si>
    <t>Thrust boring/directional drilling and installation of 2 x 110mm HDPE duct Class 6 or higher in normal soil</t>
  </si>
  <si>
    <t>Thrust boring/directional drilling and installation of 1 x 110mm HDPE duct Class 6 or higher in intermediate rock</t>
  </si>
  <si>
    <t>Thrust boring/directional drilling and installation of 2 x 110mm HDPE duct Class 6 or higher in intermediate rock</t>
  </si>
  <si>
    <t>Supply and install of pipe and accessories for 1-way bridge attachment for bridge crossing</t>
  </si>
  <si>
    <t>Core drilling (Concrete apron 300mm deep x 75mm diameter)</t>
  </si>
  <si>
    <t>Supply and install 50mm galvanised bosal against building (2 storey high)</t>
  </si>
  <si>
    <t xml:space="preserve">Supply and install 75mm x 50mm galvanised trunking against building (2 storey high) </t>
  </si>
  <si>
    <t xml:space="preserve">Supply and install 75mm x 50mm galvanised trunking against building (exceeding 2 storey high) </t>
  </si>
  <si>
    <t>Supply and install cable trays (RF HD 225mm)</t>
  </si>
  <si>
    <t>Supply and install welded wired mesh cable tray (WWHD 100mm) including joiner set</t>
  </si>
  <si>
    <t>Supply and install welded wired mesh cable tray (WWHD 200mm) including joiner set</t>
  </si>
  <si>
    <t xml:space="preserve">ISP - Cut and seal gland plate </t>
  </si>
  <si>
    <t>ISP - Supply and install fibre glass draw/junction box</t>
  </si>
  <si>
    <t>ISP - Supply and install concrete entry block</t>
  </si>
  <si>
    <t xml:space="preserve">ISP - Supply and install flex pipe and gland onto bosal and gland plate. (Located where feeders enter BTS site) </t>
  </si>
  <si>
    <t xml:space="preserve">Floating of Focus/CST Optic fibre cable in 40mm HDPE duct </t>
  </si>
  <si>
    <t>Installation and pulling/Hauling of fibre optical cable in EXISTING ducts</t>
  </si>
  <si>
    <t>Installation and pulling/Hauling of fibre optical cable in NEW ducts</t>
  </si>
  <si>
    <t>FIBRE CABLE TEST PER STRAND AND ACCESSORIES</t>
  </si>
  <si>
    <t>Relay section test bi-directional OTDR including report</t>
  </si>
  <si>
    <t>Relay section test- Bi-directional Power And Light source testing and fibre verification including report</t>
  </si>
  <si>
    <t>FOCUS INSTALLATIONS</t>
  </si>
  <si>
    <t>Sewer Manhole Wall Core drilling -120mm</t>
  </si>
  <si>
    <t>Installation and pulling/Hauling of fibre optical cable (FOCUS)</t>
  </si>
  <si>
    <t>Installation of Entry and Exit manifold including clips</t>
  </si>
  <si>
    <t>Installation of Entry or Exit manifold including clips</t>
  </si>
  <si>
    <t>Installation of Straight manifold</t>
  </si>
  <si>
    <t xml:space="preserve">Over pumping ≤300mm pipe pumping distance not exceeding 150m  </t>
  </si>
  <si>
    <t>hour</t>
  </si>
  <si>
    <t>Recovery of cable from existing ducts and sewer</t>
  </si>
  <si>
    <t>Call Out fee per hour</t>
  </si>
  <si>
    <t>Clean 3rd party Manhole and correctly manage cable per manhole</t>
  </si>
  <si>
    <t>FIST Dome Joints</t>
  </si>
  <si>
    <t>Repair of Benching or Manhole Floor per manhole</t>
  </si>
  <si>
    <t>Storm water Slot Cutting</t>
  </si>
  <si>
    <t>Installation of Storm Water Entry or Exit</t>
  </si>
  <si>
    <t>Sewer sand Bagging per manhole</t>
  </si>
  <si>
    <t>*</t>
  </si>
  <si>
    <t>Notes:</t>
  </si>
  <si>
    <t>Supply and Install 6U x 400+200mm -19" Wall mount Swing Cabinet</t>
  </si>
  <si>
    <t>FR-ISS 27</t>
  </si>
  <si>
    <t>FR-ISS 28</t>
  </si>
  <si>
    <t>Complete ISP as-built documents (FTTX)</t>
  </si>
  <si>
    <t>Stabilizing backfilling material with cement (G2 Mix)</t>
  </si>
  <si>
    <t>48 Core Micro cable</t>
  </si>
  <si>
    <t>1 way 14/10 Micro Duct</t>
  </si>
  <si>
    <t>2 way 12/10 Micro Duct</t>
  </si>
  <si>
    <t>Install 50mm Stainless Steel Pipe</t>
  </si>
  <si>
    <t>Install 1/2/4/7 way 12/10 micro-duct in open trench</t>
  </si>
  <si>
    <t>12 Fibre Wall Mount Distribution Box including accessories</t>
  </si>
  <si>
    <t>FR-ISS 36</t>
  </si>
  <si>
    <r>
      <rPr>
        <b/>
        <sz val="9"/>
        <color rgb="FF000000"/>
        <rFont val="Calibri"/>
        <family val="2"/>
      </rPr>
      <t>ISP</t>
    </r>
    <r>
      <rPr>
        <sz val="9"/>
        <color rgb="FF000000"/>
        <rFont val="Calibri"/>
        <family val="2"/>
      </rPr>
      <t xml:space="preserve"> - Excavation and backfilling of trench in normal soil Pickable (300 mm width x 1000 mm depth) 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</si>
  <si>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Excavation and Backfilling of trench in normal soil  Pickable (300 mm width x 700 mm depth) </t>
    </r>
  </si>
  <si>
    <r>
      <t>Supply and Install Replacement 3rd Party Manhole coping and concrete lid (860mm Ø</t>
    </r>
    <r>
      <rPr>
        <sz val="7.65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x 75mm depth with 490 mm hole and 560mm light duty lid)</t>
    </r>
  </si>
  <si>
    <t>Re-instatement of  concrete (18Mpa) 300mm width   ≤ 100mm thick</t>
  </si>
  <si>
    <t xml:space="preserve">Re-instatement of asphalt and crusher 300mm width   ≤ 100mm thick </t>
  </si>
  <si>
    <t>Re-instatement of asphalt  or concrete (And crusher) (20 Mpa)  300mm width   &gt;100mm thick - ROAD</t>
  </si>
  <si>
    <t>Description</t>
  </si>
  <si>
    <t>LOCATION</t>
  </si>
  <si>
    <t>LONGITUDE</t>
  </si>
  <si>
    <t>LATITUDE</t>
  </si>
  <si>
    <t>DISTANCE</t>
  </si>
  <si>
    <t>USE / COMMENTS</t>
  </si>
  <si>
    <t>SLACK</t>
  </si>
  <si>
    <t>INVERT</t>
  </si>
  <si>
    <t>DIAMETER</t>
  </si>
  <si>
    <t>TRENCH TYPE</t>
  </si>
  <si>
    <t>CABLE TYPE</t>
  </si>
  <si>
    <t>INSERT PDF</t>
  </si>
  <si>
    <t>ANCILLARIES</t>
  </si>
  <si>
    <t>LINK</t>
  </si>
  <si>
    <t>CONTRACTOR</t>
  </si>
  <si>
    <t>Code</t>
  </si>
  <si>
    <t>unit</t>
  </si>
  <si>
    <t>REQ</t>
  </si>
  <si>
    <t>BM001</t>
  </si>
  <si>
    <t>Bend manifold 90</t>
  </si>
  <si>
    <t>CLIP001</t>
  </si>
  <si>
    <t>SEWER</t>
  </si>
  <si>
    <t>DOMECOMP01</t>
  </si>
  <si>
    <t>Compact Dome Joint 144F</t>
  </si>
  <si>
    <t>Entry/Exit</t>
  </si>
  <si>
    <t>Exit AND entry</t>
  </si>
  <si>
    <t>straight</t>
  </si>
  <si>
    <t>DOMEFIST01</t>
  </si>
  <si>
    <t>DOMEFIST08</t>
  </si>
  <si>
    <t>FIST Dome Joints (GCO2-BC8-NV-ZA02)</t>
  </si>
  <si>
    <t>Spax screws 75 x 40mm</t>
  </si>
  <si>
    <t>FIST-OSKG</t>
  </si>
  <si>
    <t>FIST Mechanical Gel Seal - Oval Port</t>
  </si>
  <si>
    <t>FIST-RSKG-4</t>
  </si>
  <si>
    <t>LHM001</t>
  </si>
  <si>
    <t>Left hand manifold black</t>
  </si>
  <si>
    <t>Resin</t>
  </si>
  <si>
    <t>MANH02</t>
  </si>
  <si>
    <t>Portround</t>
  </si>
  <si>
    <t>Round (2) Ports Heatshrink Kits</t>
  </si>
  <si>
    <t>Ports</t>
  </si>
  <si>
    <t>Oval (1) Ports Heatshrink Kits</t>
  </si>
  <si>
    <t>Straight manifold 14 purple</t>
  </si>
  <si>
    <t>RH30821</t>
  </si>
  <si>
    <t>RHM001</t>
  </si>
  <si>
    <t>Right hand manifold Black and purple</t>
  </si>
  <si>
    <t>SPAXS40</t>
  </si>
  <si>
    <t>STORM WATER</t>
  </si>
  <si>
    <t>SPAXS60</t>
  </si>
  <si>
    <t>Spax screws 75 x 60mm</t>
  </si>
  <si>
    <t>slot-cutting</t>
  </si>
  <si>
    <t>SPLPRO</t>
  </si>
  <si>
    <t>Splice Protectors - 40mm</t>
  </si>
  <si>
    <t>ST20319</t>
  </si>
  <si>
    <t>STFLAT18</t>
  </si>
  <si>
    <t>Straight manifold 18 purple</t>
  </si>
  <si>
    <t>WASH001</t>
  </si>
  <si>
    <t>WB20319</t>
  </si>
  <si>
    <t>Wishbone manifold purple and Black</t>
  </si>
  <si>
    <t>WTRP001</t>
  </si>
  <si>
    <r>
      <t xml:space="preserve">Other : </t>
    </r>
    <r>
      <rPr>
        <i/>
        <sz val="11"/>
        <color rgb="FFFF0000"/>
        <rFont val="Calibri"/>
        <family val="2"/>
      </rPr>
      <t>specify</t>
    </r>
  </si>
  <si>
    <t>INSERT WL DOC</t>
  </si>
  <si>
    <t>INSERT MAP</t>
  </si>
  <si>
    <t>Install 1 x 110mm HDPE pipe in open trench</t>
  </si>
  <si>
    <t>110mm HDPE pipe</t>
  </si>
  <si>
    <t>Supply and Install 9U x 400+200mm -19" Wall mount Swing Cabinet</t>
  </si>
  <si>
    <t>Safety File</t>
  </si>
  <si>
    <t>FR-ISS 41</t>
  </si>
  <si>
    <t>42U Cabinet (600x800) Perforated</t>
  </si>
  <si>
    <t>21U Cabinet</t>
  </si>
  <si>
    <t>FR-ISS 43</t>
  </si>
  <si>
    <t xml:space="preserve">4 way 12/10 micro-duct </t>
  </si>
  <si>
    <t>DUCT TYPE</t>
  </si>
  <si>
    <t>MH TYPE</t>
  </si>
  <si>
    <t>ACCUMULATED QTY</t>
  </si>
  <si>
    <t>COMMENTS</t>
  </si>
  <si>
    <t>Total
Jetting</t>
  </si>
  <si>
    <t>Site Instruction 01</t>
  </si>
  <si>
    <t>Site Instruction 02</t>
  </si>
  <si>
    <t>Site Instruction 04</t>
  </si>
  <si>
    <t>Site Instruction 03</t>
  </si>
  <si>
    <t>AS BUILD QTY (CONTRACTOR)</t>
  </si>
  <si>
    <t>FR-ISS 44</t>
  </si>
  <si>
    <t>VARIATION ORDER AMT SI 01</t>
  </si>
  <si>
    <t>VARIATION ORDER % SI 01</t>
  </si>
  <si>
    <t>VARIATION ORDER AMT SI 02</t>
  </si>
  <si>
    <t>VARIATION ORDER % SI 02</t>
  </si>
  <si>
    <t>VARIATION ORDER AMT SI 03</t>
  </si>
  <si>
    <t>VARIATION ORDER % SI 03</t>
  </si>
  <si>
    <t>VARIATION ORDER AMT SI 04</t>
  </si>
  <si>
    <t>VARIATION ORDER % SI 04</t>
  </si>
  <si>
    <t>AS BUILD vs PO</t>
  </si>
  <si>
    <t>AS BUILD vs PO %</t>
  </si>
  <si>
    <t>Contractor</t>
  </si>
  <si>
    <t>CCTV Survey Pre Installation</t>
  </si>
  <si>
    <t xml:space="preserve">High Pressure Jetting -Sewer </t>
  </si>
  <si>
    <t xml:space="preserve">High Pressure Jetting-StormWater </t>
  </si>
  <si>
    <t>FR-ISS 45</t>
  </si>
  <si>
    <t>288 FOCUS Optic Fibre Cable</t>
  </si>
  <si>
    <t>Bush Cutting</t>
  </si>
  <si>
    <t>FR-ISS 46</t>
  </si>
  <si>
    <t>Concrete encasement of pipes (labour and 20 mpa concrete) 100mm width x 100mm depth</t>
  </si>
  <si>
    <t>Supply and install 25mm Galvanised Bosal Pipe duct against building</t>
  </si>
  <si>
    <t>LA 1000X500</t>
  </si>
  <si>
    <t>LA 500X500</t>
  </si>
  <si>
    <t>FR-ISS 49</t>
  </si>
  <si>
    <t>FR-ISS 50</t>
  </si>
  <si>
    <t>Micro duct High Pressure Couplers</t>
  </si>
  <si>
    <t>Micro duct High Pressure End Caps</t>
  </si>
  <si>
    <t>Micro duct Dust covers</t>
  </si>
  <si>
    <t>LA 500x500 Slack Brackets</t>
  </si>
  <si>
    <t>Trench Warning Tape</t>
  </si>
  <si>
    <t>FR-ISS 52</t>
  </si>
  <si>
    <t>FR-ISS 54</t>
  </si>
  <si>
    <t>DUCT1210 A</t>
  </si>
  <si>
    <t>DUCT1210 B</t>
  </si>
  <si>
    <t>FIST-RSKG-4b</t>
  </si>
  <si>
    <t>Duct110</t>
  </si>
  <si>
    <t>12/10 Straight connector coupler</t>
  </si>
  <si>
    <t>MANT002</t>
  </si>
  <si>
    <t>Focus MH Tags 80 x 120mm</t>
  </si>
  <si>
    <t>SBOX01</t>
  </si>
  <si>
    <t>WALLMOUNT2</t>
  </si>
  <si>
    <t>WTRP002</t>
  </si>
  <si>
    <t>Waterplug Masterseal 505</t>
  </si>
  <si>
    <t>DOME48F</t>
  </si>
  <si>
    <t>CLIP002</t>
  </si>
  <si>
    <t>1WAYPIPE</t>
  </si>
  <si>
    <t>108 LCA KIT3</t>
  </si>
  <si>
    <t>2WAYPIPE</t>
  </si>
  <si>
    <t>MANH05</t>
  </si>
  <si>
    <t>COP001</t>
  </si>
  <si>
    <t>Prefab 1000mm rnd x 500mm w/1 x slack bracket</t>
  </si>
  <si>
    <t>STOCK CODE</t>
  </si>
  <si>
    <t xml:space="preserve">Total
</t>
  </si>
  <si>
    <t>DRILLING</t>
  </si>
  <si>
    <t>RE-INSTATEMENT</t>
  </si>
  <si>
    <t>FLOATING</t>
  </si>
  <si>
    <t>JETTING</t>
  </si>
  <si>
    <t>FOCUS INSTALLATION</t>
  </si>
  <si>
    <t>72 Core Micro cable</t>
  </si>
  <si>
    <t>12U Split Cabinet</t>
  </si>
  <si>
    <t>BUILD SITE INSTRUCTIONS and AS BUILD QUANTITIES</t>
  </si>
  <si>
    <t>OSP and ISP BOQ</t>
  </si>
  <si>
    <t>Installation of Storm Water Entry and Exit</t>
  </si>
  <si>
    <t>Excavation of trial pit to prove municipal duct  (400mm width x 1000mm Length x 700mm depth)</t>
  </si>
  <si>
    <t>Removal of paving /m2 (Brick paving  Slabbed paving and Slasto)</t>
  </si>
  <si>
    <t>DIT (Duct Integrity Testing) per duct length  Minimum rate R1000.00 or as per agreement. For ISP Only</t>
  </si>
  <si>
    <t>BEDDING  PADDING AND BACKFILLING</t>
  </si>
  <si>
    <t xml:space="preserve">Surface re-instatement - tiles  paving  inter locking brick and Slabbed paving </t>
  </si>
  <si>
    <t>Re-establishment of vegetation  landscaping and seedlings</t>
  </si>
  <si>
    <t>Supply and install small concrete precast manhole  including rings with knockouts and precast cover    (Internal dimensions 1000mm (diameter)x500mm (Depth)  with knockouts  wall thickness 65mm to 75mm)</t>
  </si>
  <si>
    <t>Supply and install large concrete precast manhole including rings with knockouts and precast cover (Internal diameter 1000mm x 1000mm depth  wall thickness 65mm to 75mm)</t>
  </si>
  <si>
    <t>Supply and install cable trays (Wire Basket 100mm Wide  75mm Depth) including bends and splices</t>
  </si>
  <si>
    <t xml:space="preserve">Pulling of slack between manholes (existing cables  Measurement of slack in manhole only) </t>
  </si>
  <si>
    <t>CCTV Survey   Post Installation</t>
  </si>
  <si>
    <r>
      <rPr>
        <b/>
        <sz val="9"/>
        <color rgb="FF000000"/>
        <rFont val="Calibri"/>
        <family val="2"/>
      </rPr>
      <t>ISP</t>
    </r>
    <r>
      <rPr>
        <sz val="9"/>
        <color rgb="FF000000"/>
        <rFont val="Calibri"/>
        <family val="2"/>
      </rPr>
      <t xml:space="preserve"> - Excavation and backfilling of trench in normal soil including cutting/asphalt / concrete &gt;100mm thick  (300mm width x 400mm depth) 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</si>
  <si>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Excavation and backfilling of trench in normal soil including cutting/asphalt / concrete &gt;100mm thick (300mm width x 800mm  depth) </t>
    </r>
  </si>
  <si>
    <t>FR-ISS 55</t>
  </si>
  <si>
    <t>4WAYPIPE</t>
  </si>
  <si>
    <t>AS BUILD LABEL GENERATOR</t>
  </si>
  <si>
    <t>TEMP MANHOLE ID</t>
  </si>
  <si>
    <t>FR-ISS 58</t>
  </si>
  <si>
    <t>24 Port Patch Panel</t>
  </si>
  <si>
    <t>FR-ISS 60</t>
  </si>
  <si>
    <t>FR-ISS 62</t>
  </si>
  <si>
    <t>FR-ISS 63</t>
  </si>
  <si>
    <t>TOTAL DISTANCE</t>
  </si>
  <si>
    <t>Product</t>
  </si>
  <si>
    <t>OSP Planner</t>
  </si>
  <si>
    <t>ISP Planner</t>
  </si>
  <si>
    <t>Surveyor 1</t>
  </si>
  <si>
    <t>Surveyor 2</t>
  </si>
  <si>
    <t>Survey Date</t>
  </si>
  <si>
    <t>Physical Build Dist</t>
  </si>
  <si>
    <t>WP 1</t>
  </si>
  <si>
    <t>WP 2</t>
  </si>
  <si>
    <t>Modal Split</t>
  </si>
  <si>
    <t>Sewer</t>
  </si>
  <si>
    <t>Focus</t>
  </si>
  <si>
    <t>Stormwater</t>
  </si>
  <si>
    <t>Existing Duct</t>
  </si>
  <si>
    <t>Total Focus</t>
  </si>
  <si>
    <t xml:space="preserve">Civil </t>
  </si>
  <si>
    <t>3rd Party Duct</t>
  </si>
  <si>
    <t>LA Duct</t>
  </si>
  <si>
    <t>Total Existing</t>
  </si>
  <si>
    <t>Road Cut</t>
  </si>
  <si>
    <t>Drilling</t>
  </si>
  <si>
    <t>Trench</t>
  </si>
  <si>
    <t>Total Route Distance</t>
  </si>
  <si>
    <t>Tar</t>
  </si>
  <si>
    <t>Paving</t>
  </si>
  <si>
    <t>Concrete</t>
  </si>
  <si>
    <t>In Building Conduits</t>
  </si>
  <si>
    <t>Notes</t>
  </si>
  <si>
    <t>Services Cost</t>
  </si>
  <si>
    <t>Free Issue Materials</t>
  </si>
  <si>
    <t xml:space="preserve">ISP </t>
  </si>
  <si>
    <t>Total BOQ Value</t>
  </si>
  <si>
    <t>OSP Instructions and Risks</t>
  </si>
  <si>
    <t>ISP Instructions and Risks</t>
  </si>
  <si>
    <t>Opt1</t>
  </si>
  <si>
    <t>Opt2</t>
  </si>
  <si>
    <t>FTTH Only</t>
  </si>
  <si>
    <t>SD Date</t>
  </si>
  <si>
    <t>Total Number of Homes</t>
  </si>
  <si>
    <t>Cost/Home(Services Only)</t>
  </si>
  <si>
    <t>Cost/Home(Total Project)</t>
  </si>
  <si>
    <t>Senior Planner</t>
  </si>
  <si>
    <t>Project Cost</t>
  </si>
  <si>
    <t>Cost/M</t>
  </si>
  <si>
    <t>Cost/M Total Project</t>
  </si>
  <si>
    <t>Cost/M Services Only</t>
  </si>
  <si>
    <t>Date:</t>
  </si>
  <si>
    <t>FR-ISS 68</t>
  </si>
  <si>
    <t>ALLBRO UTILEC BOX SCREW LID 110X110X90MM UT2</t>
  </si>
  <si>
    <t>FR-ISS 69</t>
  </si>
  <si>
    <t>144 Core Micro Cable</t>
  </si>
  <si>
    <t>FR-ISS 70</t>
  </si>
  <si>
    <t>144 Patch Panel</t>
  </si>
  <si>
    <t>Excavation of drill pit (1500mm width  x 1500mm length x 1500mm depth)</t>
  </si>
  <si>
    <t>Supply and Install 90° Bosal Bend</t>
  </si>
  <si>
    <t>Supply and Install Coupling 50mm Bosal</t>
  </si>
  <si>
    <t>Link Description (Site A - SiteB)</t>
  </si>
  <si>
    <t>ISP SITE ID</t>
  </si>
  <si>
    <t>CALCULATIONS</t>
  </si>
  <si>
    <t>1 screw per washer, 2 screws per clip, 2 screws for manhole tage - read formula from BOQ</t>
  </si>
  <si>
    <t>x2</t>
  </si>
  <si>
    <t>as per entry/exit</t>
  </si>
  <si>
    <t>4 across top + 4 across bottom</t>
  </si>
  <si>
    <t>use invert of sewer manhole average 3000m/200mm apart</t>
  </si>
  <si>
    <t>2 clips</t>
  </si>
  <si>
    <t>1 per manhole</t>
  </si>
  <si>
    <t>1 for every 4 manholes</t>
  </si>
  <si>
    <t>no waterplug</t>
  </si>
  <si>
    <t>144 CST Optic Fibre Optical Cable</t>
  </si>
  <si>
    <t>Install 1 x 50mm/40mm Aggri pipe in open trench</t>
  </si>
  <si>
    <t>Install Polymer 500x500mm Manhole</t>
  </si>
  <si>
    <t>External wall core drilling - diameter 50mm - 130mm (Building outer wall ≤250mm wide)</t>
  </si>
  <si>
    <t>Install 2 x 110mm HDPE pipe in open trench</t>
  </si>
  <si>
    <t>Install precast concrete flatpack manhole (605mm x 545mm x 700 mm)</t>
  </si>
  <si>
    <t>Scanning For Directional Drilling</t>
  </si>
  <si>
    <t>96 Core Micro cable</t>
  </si>
  <si>
    <t xml:space="preserve">7 way 12/10 micro-duct </t>
  </si>
  <si>
    <t>7WAYPIPE</t>
  </si>
  <si>
    <t>40/34mm Sub Duct (Aggri)</t>
  </si>
  <si>
    <t>50/43mm Sub Duct (Aggri)</t>
  </si>
  <si>
    <t>25 mm PVC duct</t>
  </si>
  <si>
    <t>25 mm PVC Couplers</t>
  </si>
  <si>
    <t>25 mm PVC Bends</t>
  </si>
  <si>
    <t>25 mm Junction Boxes</t>
  </si>
  <si>
    <t>25 mm Male terminator</t>
  </si>
  <si>
    <t>25 mm PVC Saddles</t>
  </si>
  <si>
    <t>25 mm Sprague</t>
  </si>
  <si>
    <t>40 x 40 mm External angle</t>
  </si>
  <si>
    <t>40 x 40 mm Internal angle</t>
  </si>
  <si>
    <t>40 x 40 mm Flat angle</t>
  </si>
  <si>
    <t>40 x 40 mm Tee Unit</t>
  </si>
  <si>
    <t>40 x 40 mm Stopend</t>
  </si>
  <si>
    <t>FR-ISS 71</t>
  </si>
  <si>
    <t>FR-ISS 72</t>
  </si>
  <si>
    <t>FR-ISS 73</t>
  </si>
  <si>
    <t>FR-ISS 74</t>
  </si>
  <si>
    <t>FR-ISS 76</t>
  </si>
  <si>
    <t>FR-ISS 77</t>
  </si>
  <si>
    <t>FR-ISS 78</t>
  </si>
  <si>
    <t>FR-ISS 79</t>
  </si>
  <si>
    <t>FR-ISS 80</t>
  </si>
  <si>
    <t>FR-ISS 81</t>
  </si>
  <si>
    <t>FR-ISS 82</t>
  </si>
  <si>
    <t>ALLBRO UTILEC BOX SCREW LID 310 x 210 x 125 mm Allbro UT7 Slide</t>
  </si>
  <si>
    <t>ALLBRO 87 x 87 x 55 mm Allbro MPEbox (J1) Junction Box (HDP)</t>
  </si>
  <si>
    <t>FR-ISS 83</t>
  </si>
  <si>
    <t>FR-ISS 84</t>
  </si>
  <si>
    <t>Polymer 500x500 drop-in Manhole complete</t>
  </si>
  <si>
    <t>FIST GC02 BC 06 Dome Joints</t>
  </si>
  <si>
    <t>FR-ISS 85</t>
  </si>
  <si>
    <t>Joint Tank 48 splice mini joint (Shrink Seals)</t>
  </si>
  <si>
    <t>24 Fibre Wall Mount Distribution Box including accessories</t>
  </si>
  <si>
    <t>WALLMOUNT3</t>
  </si>
  <si>
    <t>9U Cabinet</t>
  </si>
  <si>
    <t>FR-ISS 86</t>
  </si>
  <si>
    <t>FR-ISS 87</t>
  </si>
  <si>
    <t>Cherry Picker (Quote)</t>
  </si>
  <si>
    <t>CATERGORY</t>
  </si>
  <si>
    <t>CABLE</t>
  </si>
  <si>
    <t>DUCT</t>
  </si>
  <si>
    <t>BOXES</t>
  </si>
  <si>
    <t>MANHOLE</t>
  </si>
  <si>
    <t>SPLICING</t>
  </si>
  <si>
    <t>FOCUS</t>
  </si>
  <si>
    <t>FEC &amp; ACCESSORIES</t>
  </si>
  <si>
    <t>Prepare and splice single fibre in existing patch panel  joint or ODF (per splice)</t>
  </si>
  <si>
    <t>Prepare cable ends and joint for splicing (Loop only)</t>
  </si>
  <si>
    <t>FR-ISS 88</t>
  </si>
  <si>
    <t>Precast concrete flatpack manhole (605mm x 545mm x 700 mm)</t>
  </si>
  <si>
    <t>Supply paint and Preparation and painting of PVC duct/square trunking/bosal</t>
  </si>
  <si>
    <t>Install up to 12 U Cabinet</t>
  </si>
  <si>
    <t>Prepare and Install Patch Panel/FMT including the preparation of splitters</t>
  </si>
  <si>
    <t>Project Leader</t>
  </si>
  <si>
    <t>To Be viewed in conjunction with BOS_000-MS-BO-010 Rev 5</t>
  </si>
  <si>
    <t>CONTRACTOR NAME</t>
  </si>
  <si>
    <t>QTY
CIVIL</t>
  </si>
  <si>
    <t>MATERIALS</t>
  </si>
  <si>
    <t>VO 1</t>
  </si>
  <si>
    <t>VO 2</t>
  </si>
  <si>
    <t>VO 3</t>
  </si>
  <si>
    <t>VO 4</t>
  </si>
  <si>
    <t>Civil</t>
  </si>
  <si>
    <t>Jetting</t>
  </si>
  <si>
    <t>Contractor Allocated</t>
  </si>
  <si>
    <t>Re-instatement</t>
  </si>
  <si>
    <t xml:space="preserve">Floating </t>
  </si>
  <si>
    <t>Splicing</t>
  </si>
  <si>
    <t>As Build - Services</t>
  </si>
  <si>
    <t>Services - Total AB BOQ Value</t>
  </si>
  <si>
    <t>As Build - Services Cost</t>
  </si>
  <si>
    <t>VO - Material Cost</t>
  </si>
  <si>
    <t>% Split</t>
  </si>
  <si>
    <t>Internal</t>
  </si>
  <si>
    <t>External</t>
  </si>
  <si>
    <t>Planning Manager</t>
  </si>
  <si>
    <t>Build Project Leader</t>
  </si>
  <si>
    <t>Build Project Manager</t>
  </si>
  <si>
    <t>Surveyor</t>
  </si>
  <si>
    <t>BUILD AS BUILD LABEL</t>
  </si>
  <si>
    <t>Bend manifold  90</t>
  </si>
  <si>
    <t>INTERNAL OR CONTRACTOR NAME</t>
  </si>
  <si>
    <t>Service Cost</t>
  </si>
  <si>
    <t>Abseiling</t>
  </si>
  <si>
    <t>FR-ISS 90</t>
  </si>
  <si>
    <t>Joint 209B 48 splice mini joint (Shrink Seals)</t>
  </si>
  <si>
    <t xml:space="preserve">Small concrete precast manhole  including rings with knockouts and precast cover 1000mm (diameter)x500mm (Depth) </t>
  </si>
  <si>
    <t>Install small concrete precast manhole  including rings with knockouts and precast cover (Internal dimensions 1000mm (diameter)x500mm (Depth)  with knockouts  wall thickness 65mm to 75mm)</t>
  </si>
  <si>
    <t>Splicing on Existing Cable</t>
  </si>
  <si>
    <t>CIRCUIT ID</t>
  </si>
  <si>
    <t>Supply and Install Cabinet Plinth - LA Spec1, 2.45m x1.76m x 0.23m</t>
  </si>
  <si>
    <t>Supply and Install Cabinet Plinth - LA Spec2, 1500x950x100, Install Cabinet Base &amp; Cabinet</t>
  </si>
  <si>
    <t>50 mm PVC duct</t>
  </si>
  <si>
    <t>50 mm PVC Couplers</t>
  </si>
  <si>
    <t>50 mm PVC Bends</t>
  </si>
  <si>
    <t>50 mm PVC Saddles</t>
  </si>
  <si>
    <t>16/16 T-ends</t>
  </si>
  <si>
    <t>16/40 T-ends</t>
  </si>
  <si>
    <t>16/40 end caps</t>
  </si>
  <si>
    <t>40 x 40 mm Square trunking (4way)</t>
  </si>
  <si>
    <t>FR-ISS 91</t>
  </si>
  <si>
    <t>FR-ISS 92</t>
  </si>
  <si>
    <t>FR-ISS 93</t>
  </si>
  <si>
    <t>FR-ISS 94</t>
  </si>
  <si>
    <t>FR-ISS 95</t>
  </si>
  <si>
    <t>FR-ISS 96</t>
  </si>
  <si>
    <t>FR-ISS 97</t>
  </si>
  <si>
    <t>FR-ISS 98</t>
  </si>
  <si>
    <t>FR-ISS 99</t>
  </si>
  <si>
    <t>FR-ISS 100</t>
  </si>
  <si>
    <t>FR-ISS 101</t>
  </si>
  <si>
    <t xml:space="preserve">Domain: </t>
  </si>
  <si>
    <t>CEO/CFO/CCO/NTM</t>
  </si>
  <si>
    <t xml:space="preserve">Department: </t>
  </si>
  <si>
    <t>TECHNICAL</t>
  </si>
  <si>
    <t xml:space="preserve">Document Type: </t>
  </si>
  <si>
    <t xml:space="preserve">Revision Number: </t>
  </si>
  <si>
    <t xml:space="preserve">Effective Date: </t>
  </si>
  <si>
    <t xml:space="preserve">Date of Next Revision: </t>
  </si>
  <si>
    <t xml:space="preserve">Document Name: </t>
  </si>
  <si>
    <t>LA-TEC-BOQ-001</t>
  </si>
  <si>
    <t>Construct single skin clay brick and mortar manhole including cover slab  (600mm length x 600mm width x 600mm depth - inside dimensions)</t>
  </si>
  <si>
    <t>BILL OF QUANTITIES INFRASTRUCTURE BUILD</t>
  </si>
  <si>
    <t>Install large concrete precast manhole  including rings with knockouts and precast cover (Internal dimensions 1000mm (diameter)x1000mm (Depth)  with knockouts  wall thickness 65mm to 75mm)</t>
  </si>
  <si>
    <t>FR-ISS 102</t>
  </si>
  <si>
    <t xml:space="preserve">Large concrete precast manhole  including rings with knockouts and precast cover 1000mm (diameter)x1000mm (Depth) </t>
  </si>
  <si>
    <r>
      <rPr>
        <b/>
        <sz val="9"/>
        <color rgb="FF000000"/>
        <rFont val="Calibri"/>
        <family val="2"/>
      </rPr>
      <t>ISP</t>
    </r>
    <r>
      <rPr>
        <sz val="9"/>
        <color rgb="FF000000"/>
        <rFont val="Calibri"/>
        <family val="2"/>
      </rPr>
      <t xml:space="preserve"> - Excavation and backfilling of trench in normal soil - 300mm width x  400mm depth including trench covered by ≤ 100mm of asphalt  or concrete (Pickable 18Mpa)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</si>
  <si>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Excavation and backfilling of trench in normal soil - 300mm width x  400mm depth including trench covered by ≤ 100mm of asphalt  or concrete (Pickable 18Mpa) (For access layer/FTTH layer in estates or complexes)</t>
    </r>
  </si>
  <si>
    <t>MRC</t>
  </si>
  <si>
    <t>Yearly MRC</t>
  </si>
  <si>
    <t>Payback Period</t>
  </si>
  <si>
    <t>Install Smartlock 400x400mm Manhole</t>
  </si>
  <si>
    <t>Install Smartlock 400x600mm Manhole</t>
  </si>
  <si>
    <t>Install Medium Duty 600x600mm Manhole (DMC)</t>
  </si>
  <si>
    <t>Install Medium Duty 900x900mm Manhole (DMC)</t>
  </si>
  <si>
    <t>LA 400X400</t>
  </si>
  <si>
    <t>LA 400X600</t>
  </si>
  <si>
    <t>Install 250x230x300mm Toby Box</t>
  </si>
  <si>
    <t>250x230x300mm Toby Box</t>
  </si>
  <si>
    <t>Medium Duty 600x600mm Manhole (DMC)</t>
  </si>
  <si>
    <t>Medium Duty 900x900mm Manhole (DMC)</t>
  </si>
  <si>
    <t>Supply and install 25mm PVC duct against building/Trunking</t>
  </si>
  <si>
    <t>Install - Slack Box/Junction Box/Home Pass Point MPEbox(J1)</t>
  </si>
  <si>
    <t>Termination Box 4 way complete - Customer Access Box</t>
  </si>
  <si>
    <t>Joint 204B 144 splice joint (Shrink Seals)</t>
  </si>
  <si>
    <t>24 Core Micro cable</t>
  </si>
  <si>
    <t>12 Core Micro cable</t>
  </si>
  <si>
    <t>LA 1000X1000</t>
  </si>
  <si>
    <t>FR-ISS 103</t>
  </si>
  <si>
    <t>FR-ISS 106</t>
  </si>
  <si>
    <t>FR-ISS 107</t>
  </si>
  <si>
    <t>FR-ISS 109</t>
  </si>
  <si>
    <t>FR-ISS 112</t>
  </si>
  <si>
    <t>MF 12</t>
  </si>
  <si>
    <t>MF 24</t>
  </si>
  <si>
    <t>MF 48</t>
  </si>
  <si>
    <t>MF 72</t>
  </si>
  <si>
    <t>MF 96</t>
  </si>
  <si>
    <t>MF 144</t>
  </si>
  <si>
    <t>MF 288</t>
  </si>
  <si>
    <t>FOCUS 72</t>
  </si>
  <si>
    <t>FOCUS 144</t>
  </si>
  <si>
    <t>FOCUS 288</t>
  </si>
  <si>
    <t>FR-ISS 113</t>
  </si>
  <si>
    <t>FR-ISS 114</t>
  </si>
  <si>
    <t>Grand Total</t>
  </si>
  <si>
    <t>Row Labels</t>
  </si>
  <si>
    <t>Sum of DISTANCE</t>
  </si>
  <si>
    <t>Sum of SLACK</t>
  </si>
  <si>
    <t>Sum of INVERT</t>
  </si>
  <si>
    <t>FR-ISS 115</t>
  </si>
  <si>
    <t>CST 144</t>
  </si>
  <si>
    <t>CST 288</t>
  </si>
  <si>
    <t>288 Core Micro Cable</t>
  </si>
  <si>
    <t>DIT (Duct Integrity Testing) per duct length for entire route.  Minimum rate R1000.00 or as per rate per m</t>
  </si>
  <si>
    <t>Supply and Install Replacement 3rd Party Manhole concrete lid (490-560mm Light duty lid)</t>
  </si>
  <si>
    <t>Splitter Loss</t>
  </si>
  <si>
    <t>Calculation</t>
  </si>
  <si>
    <t>Split Ratio</t>
  </si>
  <si>
    <t>Max Loss (dB)</t>
  </si>
  <si>
    <t>Typical Loss (dB)</t>
  </si>
  <si>
    <t>Quantities</t>
  </si>
  <si>
    <t>Loss Calculations</t>
  </si>
  <si>
    <t>1:2</t>
  </si>
  <si>
    <t>1:4</t>
  </si>
  <si>
    <t>1:8</t>
  </si>
  <si>
    <t>1:16</t>
  </si>
  <si>
    <t>1:32</t>
  </si>
  <si>
    <t>1:64</t>
  </si>
  <si>
    <t>Connector Loss (dB)</t>
  </si>
  <si>
    <t>Fiber Loss (dB/km)</t>
  </si>
  <si>
    <t>Splice Loss (dB)</t>
  </si>
  <si>
    <t>Link Loss</t>
  </si>
  <si>
    <t>Lunch Power</t>
  </si>
  <si>
    <t>Total Loss</t>
  </si>
  <si>
    <t>FR-ISS 110</t>
  </si>
  <si>
    <t>LC/APC Pig Tails</t>
  </si>
  <si>
    <t>BOQ Version :</t>
  </si>
  <si>
    <t>FIBRE TERMINATION (JOINTING / SPLICE OF FIBRE IN MANHOLES  OPTIVAL DISTRIBUTION FRAMES AND PATCH PANELS)</t>
  </si>
  <si>
    <t>Install PVC duct / sprague / square trunking / bosal against wall, building etc including the drilling of walls</t>
  </si>
  <si>
    <t>Prepare and install Fibre Termination Point  4 / 12 / 24  way Wall Mount Distribution Box including accessories</t>
  </si>
  <si>
    <t>Floating of Micro cable in 1 / 2 / 4 / 7 way micro duct</t>
  </si>
  <si>
    <t>Soil displacement / Thrust boring and installation of 1 x 50/43mm sub duct Class 6 or higher in normal or intermediate soil</t>
  </si>
  <si>
    <r>
      <rPr>
        <b/>
        <sz val="9"/>
        <color rgb="FF000000"/>
        <rFont val="Calibri"/>
        <family val="2"/>
      </rPr>
      <t>ISP</t>
    </r>
    <r>
      <rPr>
        <sz val="9"/>
        <color rgb="FF000000"/>
        <rFont val="Calibri"/>
        <family val="2"/>
      </rPr>
      <t xml:space="preserve"> - Excavation and backfilling of trench in normal soil Pickable (300 mm width x 400 mm depth) (For access layer / FTTH layer in MDU's)</t>
    </r>
  </si>
  <si>
    <r>
      <rPr>
        <b/>
        <sz val="9"/>
        <color rgb="FF000000"/>
        <rFont val="Calibri"/>
        <family val="2"/>
      </rPr>
      <t>ISP</t>
    </r>
    <r>
      <rPr>
        <sz val="9"/>
        <color rgb="FF000000"/>
        <rFont val="Calibri"/>
        <family val="2"/>
      </rPr>
      <t xml:space="preserve"> - Excavation and backfilling of trench including cutting/breaking of vegetation/ Landscaping  300mm width  x 400mm depth (For access layer / FTTH layer in MDU's)</t>
    </r>
  </si>
  <si>
    <t>4 Fibre Wall Mount Distribution Box including accessories (FTTH Boundary Box)</t>
  </si>
  <si>
    <t>FR-ISS 108</t>
  </si>
  <si>
    <t>Micro Loop Joint (4 x LC/APC Pigtails and 2x LC/APC Midcouplers Only)</t>
  </si>
  <si>
    <t>FR-ISS 117</t>
  </si>
  <si>
    <t>FR-ISS 118</t>
  </si>
  <si>
    <t>Count of CABLE TYPE</t>
  </si>
  <si>
    <t>SPLITTER TYPE</t>
  </si>
  <si>
    <t>SPLITTER ID</t>
  </si>
  <si>
    <t>DCP testing every 20m</t>
  </si>
  <si>
    <t>FR-ISS 120</t>
  </si>
  <si>
    <t>FR-ISS 121</t>
  </si>
  <si>
    <t>10m Wall Box Cable for FTTH (2 x LC/APC connectors)</t>
  </si>
  <si>
    <t>30m Wall Box Cable for FTTH (2 x LC/APC connectors)</t>
  </si>
  <si>
    <t>70m Wall Box Cable for FTTH (2 x LC/APC connectors)</t>
  </si>
  <si>
    <t>100m Wall Box Cable for FTTH (2 x LC/APC connectors)</t>
  </si>
  <si>
    <t>FR-ISS 122</t>
  </si>
  <si>
    <t>FR-ISS 123</t>
  </si>
  <si>
    <t>FR-ISS 124</t>
  </si>
  <si>
    <t>40m Drop Cable for FTTH (1 x LC/APC connectors both ends)</t>
  </si>
  <si>
    <t>70m Drop Cable for FTTH (1 x LC/APC connectors both ends)</t>
  </si>
  <si>
    <t>120m Drop Cable for FTTH (1 x LC/APC connectors both ends)</t>
  </si>
  <si>
    <t>(blank)</t>
  </si>
  <si>
    <t>2 way 14/10 Micro Duct</t>
  </si>
  <si>
    <t xml:space="preserve">4 way 14/10 micro-duct </t>
  </si>
  <si>
    <t xml:space="preserve">7 way 14/10 micro-duct </t>
  </si>
  <si>
    <t>FR-ISS 125</t>
  </si>
  <si>
    <t>FR-ISS 126</t>
  </si>
  <si>
    <t>FR-ISS 127</t>
  </si>
  <si>
    <t>SUB DUCT</t>
  </si>
  <si>
    <t>1:16 PLC Splitter bare 900Um tails 1m length (Un-Connectorized)</t>
  </si>
  <si>
    <t>1:8 Splitter - Un-Connectorized</t>
  </si>
  <si>
    <t>1:32 Splitter - Un-Connectorized</t>
  </si>
  <si>
    <t>1:64 Splitter - Un-Connectorized</t>
  </si>
  <si>
    <t xml:space="preserve">P05 1U High Density Pivot Panel incl. LC 48 pigtails Complete and 1U Panel slack drawer_1U_Telescopic </t>
  </si>
  <si>
    <t>Micro Loop Joint (4 x LC/APC with 1:4 Splitter_Connectorized)</t>
  </si>
  <si>
    <t>SUB DUCT PIVOT</t>
  </si>
  <si>
    <t>WALL BOX CABLE PIVOT</t>
  </si>
  <si>
    <t>DUCT PIVOT</t>
  </si>
  <si>
    <t>TRENCH PIVOT</t>
  </si>
  <si>
    <t>CABLE DISTANCE PIVOT</t>
  </si>
  <si>
    <t>Install 1/2/4/7 way 12/10 micro-duct in existing duct (110mm duct/Bosal/PVC)</t>
  </si>
  <si>
    <t>FR-ISS 104 (SL002)</t>
  </si>
  <si>
    <t>Smartlock - RHI-NODE 400 STD</t>
  </si>
  <si>
    <t>FR-ISS 105 (SL003)</t>
  </si>
  <si>
    <t>POP MONITOR EQUIP</t>
  </si>
  <si>
    <t>Monnit Link Ethernet Gateway</t>
  </si>
  <si>
    <t>Monnit Link GSM Gateway</t>
  </si>
  <si>
    <t>SIM Card (5MB month)</t>
  </si>
  <si>
    <t>WIT1 Voltage Detection - 500VAC</t>
  </si>
  <si>
    <t>WIT1 Voltage Meter - 50VDC</t>
  </si>
  <si>
    <t>WIT1 Voltage Meter - 500VDC</t>
  </si>
  <si>
    <t>WIT1 Temperature Sensor</t>
  </si>
  <si>
    <t>WIT1 Dry Contact Sensor</t>
  </si>
  <si>
    <t>Network Configuration and Setup</t>
  </si>
  <si>
    <t>FR-ISS 128</t>
  </si>
  <si>
    <t>FR-ISS 129</t>
  </si>
  <si>
    <t>FR-ISS 130</t>
  </si>
  <si>
    <t>FR-ISS 131</t>
  </si>
  <si>
    <t>FR-ISS 132</t>
  </si>
  <si>
    <t>FR-ISS 133</t>
  </si>
  <si>
    <t>FR-ISS 134</t>
  </si>
  <si>
    <t>FR-ISS 135</t>
  </si>
  <si>
    <t>FR-ISS 136</t>
  </si>
  <si>
    <t>FR-ISS 137</t>
  </si>
  <si>
    <t>FR-ISS 138</t>
  </si>
  <si>
    <t>FR-ISS 139</t>
  </si>
  <si>
    <t>FR-ISS 140</t>
  </si>
  <si>
    <t>FR-ISS 141</t>
  </si>
  <si>
    <t>FR-ISS 142</t>
  </si>
  <si>
    <t>FR-ISS 143</t>
  </si>
  <si>
    <t>Street Cabinet POP (1,2m)</t>
  </si>
  <si>
    <t>FR-ISS 144</t>
  </si>
  <si>
    <t>FR-ISS 145</t>
  </si>
  <si>
    <t>POP CABINET</t>
  </si>
  <si>
    <t>RECTIFIER</t>
  </si>
  <si>
    <t>BATTERIES</t>
  </si>
  <si>
    <t>WIT1 Open / Closed Sensor</t>
  </si>
  <si>
    <t>Smoke Sensor W / Escape Light</t>
  </si>
  <si>
    <t>Variation Margin</t>
  </si>
  <si>
    <t>1550 nm Point to Point Link Attenuation Budget</t>
  </si>
  <si>
    <t>Loss/Km</t>
  </si>
  <si>
    <t>dB/km</t>
  </si>
  <si>
    <t>Loss/Connector (LC/APC)</t>
  </si>
  <si>
    <t>dB</t>
  </si>
  <si>
    <t>Loss/Splice</t>
  </si>
  <si>
    <t>Length of the Route</t>
  </si>
  <si>
    <t>Start &amp; Termination Connectors</t>
  </si>
  <si>
    <t>Terminations</t>
  </si>
  <si>
    <t>Splice Points (Site-A to Z + Termination)</t>
  </si>
  <si>
    <t>Splices</t>
  </si>
  <si>
    <t>Total Loss/Km</t>
  </si>
  <si>
    <t>Total Connector Loss</t>
  </si>
  <si>
    <t>Total Splice Loss</t>
  </si>
  <si>
    <t>TOTAL BUDGET LOSS</t>
  </si>
  <si>
    <t>GPON Budget Loss Calculations</t>
  </si>
  <si>
    <t>Variation Margin (dB)</t>
  </si>
  <si>
    <t>FTTH FULL TURNKEY PRICING</t>
  </si>
  <si>
    <t>Price1A:  R 3100.00 per Demand Point – payable for a NAP/Drop Point - one side of the road was trenched and road crossings were used to connect the units across the road (Non-gated SDU)</t>
  </si>
  <si>
    <t>Price1B:  R 3100.00 per Demand Point – payable for a NAP/Drop Point - both sides of the road was trenched to connect the units on both sides of the road (Non-gated SDU)</t>
  </si>
  <si>
    <t>Price2:  R 3100.00 per Demand Point – payable for a NAP/Drop Point (Manhole outside the Gated SDU and MDU Property)</t>
  </si>
  <si>
    <t>Price3:  R 3100.00 – payable for a NAP/Drop Point outside a business property</t>
  </si>
  <si>
    <r>
      <t xml:space="preserve">Price9A: R 2650.00 per Demand Point – payable for a NAP/Drop Point - one side of the road was trenched and road crossings were used to connect the units across the road (Non-gated SDU) </t>
    </r>
    <r>
      <rPr>
        <b/>
        <sz val="9"/>
        <color rgb="FF000000"/>
        <rFont val="Calibri"/>
        <family val="2"/>
      </rPr>
      <t>Civil and Duct works only</t>
    </r>
  </si>
  <si>
    <r>
      <t xml:space="preserve">Price9B:  R 2650.00 per Demand Point – payable for a NAP/Drop Point - both sides of the road was trenched to connect the units on both sides of the road (Non-gated SDU) </t>
    </r>
    <r>
      <rPr>
        <b/>
        <sz val="9"/>
        <color rgb="FF000000"/>
        <rFont val="Calibri"/>
        <family val="2"/>
      </rPr>
      <t>Civil and Duct works only</t>
    </r>
  </si>
  <si>
    <r>
      <t xml:space="preserve">Price10A: R 450.00 per Demand Point – payable for a NAP/Drop Point - one side of the road was trenched and road crossings were used to connect the units across the road (Non-gated SDU) </t>
    </r>
    <r>
      <rPr>
        <b/>
        <sz val="9"/>
        <color rgb="FF000000"/>
        <rFont val="Calibri"/>
        <family val="2"/>
      </rPr>
      <t>Fibre Works only</t>
    </r>
  </si>
  <si>
    <r>
      <t xml:space="preserve">Price10B: R 450.00 per Demand Point – payable for a NAP/Drop Point - both sides of the road was trenched to connect the units on both sides of the road (Non-gated SDU) </t>
    </r>
    <r>
      <rPr>
        <b/>
        <sz val="9"/>
        <color rgb="FF000000"/>
        <rFont val="Calibri"/>
        <family val="2"/>
      </rPr>
      <t>Fibre Works only</t>
    </r>
  </si>
  <si>
    <t>Price4A:  R 1800.00 per DP – payable for a MDU complex</t>
  </si>
  <si>
    <t>Price4B:  R 1800.00 per DP – payable for a Gated SDU complex with existing ducts or where above ground deployment can be used no trenching required (brown for all units)</t>
  </si>
  <si>
    <t>Price6:  R 3000.00 per DP – payable for a complex not P4 or P5 e.g. forms of trench in a townhouse complex</t>
  </si>
  <si>
    <t>Price7:  R 900.00 per FTB – payable per MDU Last Drop Completed</t>
  </si>
  <si>
    <t>Price8:  R 1 500.00 per FTB – payable per SDU Last Drop Completed</t>
  </si>
  <si>
    <t>Price5:  R 2800.00 per DP – payable for a gated SDU complex where trenching is required</t>
  </si>
  <si>
    <t>meter</t>
  </si>
  <si>
    <t>Smartlock - RHI-NODE 400 200mm (Extension only)</t>
  </si>
  <si>
    <t>16/16 Square Trunking (1way)</t>
  </si>
  <si>
    <t>16/40 Square Trunking (2way)</t>
  </si>
  <si>
    <t>48 Fibre Wall Mount Distribution Box including accessories</t>
  </si>
  <si>
    <t>96 Fibre Wall Mount Distribution Box including accessories</t>
  </si>
  <si>
    <t>SBOX02</t>
  </si>
  <si>
    <t>SD Project ID</t>
  </si>
  <si>
    <t>SADPVC</t>
  </si>
  <si>
    <t>DUCT110HDPE</t>
  </si>
  <si>
    <t>110MM OD HDPE PE100 PN10 SDR17 PIPE (Drill Pipe)</t>
  </si>
  <si>
    <t>CONPVC</t>
  </si>
  <si>
    <t>SPLIT03</t>
  </si>
  <si>
    <t>Splice Protectors - 40mm (1.3mm) For CMJ &amp; MMJ Joints</t>
  </si>
  <si>
    <t>SPLTRAY</t>
  </si>
  <si>
    <t>Splice Trays (for FIST GC02 BC6 Joint-SE04)</t>
  </si>
  <si>
    <t>1:16 Splitter with 1M tails with LC/APC Connectors</t>
  </si>
  <si>
    <t>1:4 PLC Splitter bare 900Um tails 1m length  (Un-Connectorized)</t>
  </si>
  <si>
    <t>Splice Protectors - 40mm (2mm)</t>
  </si>
  <si>
    <t>SPLPRO - 40mm (2mm)</t>
  </si>
  <si>
    <t>SPLPRO - 40mm (1.3mm)</t>
  </si>
  <si>
    <t>PIGT06</t>
  </si>
  <si>
    <t>DUCT1410</t>
  </si>
  <si>
    <t>DUCT1410 B</t>
  </si>
  <si>
    <t>14/10mm Microduct High Pressure End Caps</t>
  </si>
  <si>
    <t>DUCT75HDPE</t>
  </si>
  <si>
    <t>75MM OD HDPE PE100 PN10 SDR17 PIPE (Drill Pipe)</t>
  </si>
  <si>
    <t>FR-ISS 51</t>
  </si>
  <si>
    <t>14/10 Micro duct Dust covers</t>
  </si>
  <si>
    <t>Duct Connectors 14/10</t>
  </si>
  <si>
    <t>RED002</t>
  </si>
  <si>
    <t>Reducers 14/10 TO 12/10</t>
  </si>
  <si>
    <t>PIGT08</t>
  </si>
  <si>
    <t>Fibernet LC/APC 2m 9/125 UNJ. PIGTAIL LSZH G657A1 600 Micron</t>
  </si>
  <si>
    <t>COUP4</t>
  </si>
  <si>
    <t>COUP05</t>
  </si>
  <si>
    <t>LC/APC Mid Couplers (Duplex - Green)</t>
  </si>
  <si>
    <t>SC/APC Mid Couplers (Simplex - Green)</t>
  </si>
  <si>
    <t>COUP01</t>
  </si>
  <si>
    <t>Mid Coupler LC/PC Duplex Single Mode Blue</t>
  </si>
  <si>
    <t>SPLIT02</t>
  </si>
  <si>
    <t>CSLAB03</t>
  </si>
  <si>
    <t>Single Phase Rectifier Chassis (3U) (PSC06 V2)</t>
  </si>
  <si>
    <t>Three Phase Rectifier Chassis (6U) (Flexi 1 8kw)</t>
  </si>
  <si>
    <t>RM2048HE</t>
  </si>
  <si>
    <t>PDU1PH</t>
  </si>
  <si>
    <t>Street Cabinet POP (2,1m) Including 3 Phase PDU</t>
  </si>
  <si>
    <t>Single Phase PDU (As Per Component List)</t>
  </si>
  <si>
    <t>180Ah Battery (4 Per POP)</t>
  </si>
  <si>
    <t>200Ah Battery (4 Per POP)</t>
  </si>
  <si>
    <t>Concreting of All size Stays</t>
  </si>
  <si>
    <t xml:space="preserve">Concreting of Poles or Strut </t>
  </si>
  <si>
    <t>Erecting Hauling Tensioning of Fibre Optical Cable on Overhead Cable Route (All Sizes)</t>
  </si>
  <si>
    <t>AERIAL LINE CABLE</t>
  </si>
  <si>
    <t>AC 24</t>
  </si>
  <si>
    <t>AC 48</t>
  </si>
  <si>
    <t>AC 72</t>
  </si>
  <si>
    <t>LA DRAWBOX</t>
  </si>
  <si>
    <t>LA EXISTING</t>
  </si>
  <si>
    <t>STORMWATER</t>
  </si>
  <si>
    <t>METROCONNECT</t>
  </si>
  <si>
    <t>SERVICE MH</t>
  </si>
  <si>
    <t>SEWER ENTRY/EXIT</t>
  </si>
  <si>
    <t>SEWER ENTRY&amp;EXIT</t>
  </si>
  <si>
    <t>SEWER STRAIGHT</t>
  </si>
  <si>
    <t>STORMWATER ENTRY/EXIT</t>
  </si>
  <si>
    <t>STORMWATER ENTRY&amp;EXIT</t>
  </si>
  <si>
    <t>STORMWATER SLOT</t>
  </si>
  <si>
    <t>DIRECT BURIED</t>
  </si>
  <si>
    <t>40MM AGGRI</t>
  </si>
  <si>
    <t>50MM AGGRI</t>
  </si>
  <si>
    <t>110MM HDPE PIPE</t>
  </si>
  <si>
    <t>110MM DRILL PIPE</t>
  </si>
  <si>
    <t>50MM BOSAL</t>
  </si>
  <si>
    <t>EXISTING DUCT</t>
  </si>
  <si>
    <t>25MM SPRAGUE</t>
  </si>
  <si>
    <t>50MM SPRAGUE</t>
  </si>
  <si>
    <t>25MM PVC</t>
  </si>
  <si>
    <t>50MM PVC</t>
  </si>
  <si>
    <t>EXISTING CABLE TRAY</t>
  </si>
  <si>
    <t>CABLE TRAY</t>
  </si>
  <si>
    <t>3RD PARTY DUCT</t>
  </si>
  <si>
    <t>10M WALL BOX CABLE</t>
  </si>
  <si>
    <t>30M WALL BOX CABLE</t>
  </si>
  <si>
    <t>70M WALL BOX CABLE</t>
  </si>
  <si>
    <t>100M WALL BOX CABLE</t>
  </si>
  <si>
    <t>14/10-1 WAY</t>
  </si>
  <si>
    <t>14/10-2 WAY</t>
  </si>
  <si>
    <t>14/10-4 WAY</t>
  </si>
  <si>
    <t>14/10-7 WAY</t>
  </si>
  <si>
    <t>12/10-2 WAY</t>
  </si>
  <si>
    <t>12/10-4 WAY</t>
  </si>
  <si>
    <t>12/10-7 WAY</t>
  </si>
  <si>
    <t>SOIL</t>
  </si>
  <si>
    <t>DW PAVING</t>
  </si>
  <si>
    <t>DW ASPHALT</t>
  </si>
  <si>
    <t>RC DRILL</t>
  </si>
  <si>
    <t>DW DRILL</t>
  </si>
  <si>
    <t>TAR CUT</t>
  </si>
  <si>
    <t>PAVING</t>
  </si>
  <si>
    <t>CONCRETE</t>
  </si>
  <si>
    <t>POINT OF TERMINATION</t>
  </si>
  <si>
    <t>4F WALL MOUNT DB</t>
  </si>
  <si>
    <t>12F WALL MOUNT DB</t>
  </si>
  <si>
    <t>24F WALL MOUNT DB</t>
  </si>
  <si>
    <t>48F WALL MOUNT DB</t>
  </si>
  <si>
    <t>96F WALL MOUNT DB</t>
  </si>
  <si>
    <t>12F PATCH PANEL</t>
  </si>
  <si>
    <t>24F PATCH PANEL</t>
  </si>
  <si>
    <t>48F PATCH PANEL</t>
  </si>
  <si>
    <t>72F PATCH PANEL</t>
  </si>
  <si>
    <t>144F PATCH PANEL</t>
  </si>
  <si>
    <t>288F PATCH PANEL</t>
  </si>
  <si>
    <t>FIBRE TERMINATION BOX</t>
  </si>
  <si>
    <t>STREET DISTRIBUTION BOX</t>
  </si>
  <si>
    <t>47U In Door Server Cabinet (600x800) Perforated</t>
  </si>
  <si>
    <t>FR-ISS 57</t>
  </si>
  <si>
    <t>350X350 TOBY BOX</t>
  </si>
  <si>
    <t>LA 350X350 TOBY BOX</t>
  </si>
  <si>
    <t>Install 350mm x350mm Toby box</t>
  </si>
  <si>
    <t>LA 250x230x300 TOBY BOX</t>
  </si>
  <si>
    <t>96F PATCH PANEL</t>
  </si>
  <si>
    <t>FR-ISS 56</t>
  </si>
  <si>
    <t>12 Port Patch Panel</t>
  </si>
  <si>
    <t>FR-ISS 53</t>
  </si>
  <si>
    <t>48 Port Patch Panel</t>
  </si>
  <si>
    <t>FR-ISS 75</t>
  </si>
  <si>
    <t>288 Patch Panel</t>
  </si>
  <si>
    <t>RM2048HE Rectifier Modules (2kw) (3 Per Rectifier)</t>
  </si>
  <si>
    <t>7.2 m Wooden Pole (100mm to 125mm)</t>
  </si>
  <si>
    <t>9m Wooden Pole (125mm to 150mm)</t>
  </si>
  <si>
    <t>POLE</t>
  </si>
  <si>
    <t>AERIAL</t>
  </si>
  <si>
    <t>FR-ISS 146</t>
  </si>
  <si>
    <t>FR-ISS 147</t>
  </si>
  <si>
    <t>Pole Mounted Optic Fibre Slack Box</t>
  </si>
  <si>
    <t>Survey, Dig / Drill and Plant 7.2 m Pole (100mm-125mm) (Hole 350mm Ø x 1200mm deep)</t>
  </si>
  <si>
    <t>Survey, Dig / Drill and Plant 9 m Pole (125mm-150mm) (Hole 350mm Ø x 1500mm deep)</t>
  </si>
  <si>
    <t>Survey Dig  Plant and Fit All Sizes Struts Complete To Poles</t>
  </si>
  <si>
    <t>Install Pole Mounted Optic Fibre Slack Box</t>
  </si>
  <si>
    <t>VO - Service Cost</t>
  </si>
  <si>
    <t>Variation Orders</t>
  </si>
  <si>
    <t>VO - Total Cost</t>
  </si>
  <si>
    <t>VO - %</t>
  </si>
  <si>
    <t>16x16mm External angle</t>
  </si>
  <si>
    <t>16x16mm Internal angle</t>
  </si>
  <si>
    <t>16x16mm Flat angle</t>
  </si>
  <si>
    <t>16x16mm Stopend</t>
  </si>
  <si>
    <t>FR-ISS 160</t>
  </si>
  <si>
    <t>FR-ISS 161</t>
  </si>
  <si>
    <t>FR-ISS 162</t>
  </si>
  <si>
    <t>FR-ISS 163</t>
  </si>
  <si>
    <t>EMS</t>
  </si>
  <si>
    <t>EMS - iMonnit</t>
  </si>
  <si>
    <t>EMS - iMonnit Street Cabinet POP</t>
  </si>
  <si>
    <t>per site</t>
  </si>
  <si>
    <t>12m Wooden Pole (125mm to 150mm)</t>
  </si>
  <si>
    <t>Figure 8 Slack brackets for Aerial Cable</t>
  </si>
  <si>
    <t>Man/day</t>
  </si>
  <si>
    <t>Company Contribution of 30% of The Local Labour Cost @ R250 per person/day as Requested By Local Councillors</t>
  </si>
  <si>
    <t>FR-ISS 148B</t>
  </si>
  <si>
    <t>FR-ISS 149A</t>
  </si>
  <si>
    <t>Stay Rod 1830 X 16MM Complete (with Adjustable Stay Rod Assembly)</t>
  </si>
  <si>
    <t>Stay Guard (Chevron)</t>
  </si>
  <si>
    <t>50 mm PVC Junction Boxes</t>
  </si>
  <si>
    <t>50 mm PVC Male terminator</t>
  </si>
  <si>
    <t>50 mm PVC Sprague</t>
  </si>
  <si>
    <t>50 mm Galvanised Bosal Pipe</t>
  </si>
  <si>
    <t>50 mm Galvanised Saddles</t>
  </si>
  <si>
    <t>50 mm Galvanised Sprague</t>
  </si>
  <si>
    <t>FR-ISS 164</t>
  </si>
  <si>
    <t>FR-ISS 165</t>
  </si>
  <si>
    <t>FR-ISS 166</t>
  </si>
  <si>
    <t>FR-ISS 167</t>
  </si>
  <si>
    <t>FR-ISS 168</t>
  </si>
  <si>
    <t>FR-ISS 169</t>
  </si>
  <si>
    <t>FR-ISS 170</t>
  </si>
  <si>
    <t>LANDSCAPE</t>
  </si>
  <si>
    <t>25 x 25 mm External angle</t>
  </si>
  <si>
    <t>25 x 25 mm Internal angle</t>
  </si>
  <si>
    <t>25 x 25 mm Flat angle</t>
  </si>
  <si>
    <t>25 x 25 mm Tee Unit</t>
  </si>
  <si>
    <t>25 x 25 mm Stopend</t>
  </si>
  <si>
    <t>16x16mm Straight Joint</t>
  </si>
  <si>
    <t>40 x 40 mm Straight Joint</t>
  </si>
  <si>
    <t>25 x 25 mm Straight Joint</t>
  </si>
  <si>
    <t>FR-ISS 171</t>
  </si>
  <si>
    <t>FR-ISS 111</t>
  </si>
  <si>
    <t>FR-ISS 172</t>
  </si>
  <si>
    <t>FR-ISS 173</t>
  </si>
  <si>
    <t>FR-ISS 174</t>
  </si>
  <si>
    <t>FR-ISS 175</t>
  </si>
  <si>
    <t>FR-ISS 176</t>
  </si>
  <si>
    <t>FR-ISS 177</t>
  </si>
  <si>
    <t>FR-ISS 178</t>
  </si>
  <si>
    <t>Galvanised Junction Boxes (305mm x 305mm x 100mm)</t>
  </si>
  <si>
    <t>50 mm Galvanised Bosal 90° Bends</t>
  </si>
  <si>
    <t>50 mm Galvanised Bosal Straight Couplers</t>
  </si>
  <si>
    <t>50 mm Galvanised Bosal Male Adapter (Terminator)</t>
  </si>
  <si>
    <t>Install LA 23U cabinet on Existing Plinth</t>
  </si>
  <si>
    <t>Supply and install of 3 phase lockable meter box and electrical cabling</t>
  </si>
  <si>
    <t>Install iMonnit Equipment in Indoor POP</t>
  </si>
  <si>
    <t>Install iMonnit Equipment in Street Cabinet POP</t>
  </si>
  <si>
    <t>24 Core Aerial Cable (ADSS)</t>
  </si>
  <si>
    <t>48 Core Aerial Cable (ADSS)</t>
  </si>
  <si>
    <t>72 Core Aerial Cable (ADSS)</t>
  </si>
  <si>
    <t>25 x 25 mm Square trunking</t>
  </si>
  <si>
    <t>Install PVC duct / against wall, building etc including drills  (single drill per anchor point every 1m) _ HV-MDU Application</t>
  </si>
  <si>
    <t>Supply and Label ODF and Cables on ISP Installations</t>
  </si>
  <si>
    <t>Supply and Label ODF and Cables</t>
  </si>
  <si>
    <t>EXISTING TRUNKING</t>
  </si>
  <si>
    <t>TRUNKING 16x16</t>
  </si>
  <si>
    <t>TRUNKING 25x25</t>
  </si>
  <si>
    <t>TRUNKING 40x40</t>
  </si>
  <si>
    <t>EXISTING CABLE</t>
  </si>
  <si>
    <t>1:2 PLC Splitter bare 900Um tails 1m length  (Un-Connectorized)</t>
  </si>
  <si>
    <t>SPLIT01</t>
  </si>
  <si>
    <t>SPLIT04</t>
  </si>
  <si>
    <t>Thrust boring/directional drilling and installation of 1 x 110mm HDPE duct Class 6 or higher in normal soil (LA supply the Drill pipe and do the scanning)</t>
  </si>
  <si>
    <t>Thrust boring/directional drilling and installation of 1 x 110mm HDPE duct Class 6 or higher in normal soil (SP supply the Drill pipe and do his own scanning)</t>
  </si>
  <si>
    <t>7 m Concrete Pole (160mm to 265mm)</t>
  </si>
  <si>
    <t>9 m Concrete Pole (160mm to 295mm)</t>
  </si>
  <si>
    <t>FR-ISS 179</t>
  </si>
  <si>
    <t>FR-ISS 180</t>
  </si>
  <si>
    <t>FR-ISS 181</t>
  </si>
  <si>
    <t>11 m Concrete Pole (160mm to 325mm)</t>
  </si>
  <si>
    <t>FR-ISS 182</t>
  </si>
  <si>
    <t>FR-ISS 183</t>
  </si>
  <si>
    <t>FR-ISS 184</t>
  </si>
  <si>
    <t>FR-ISS 185</t>
  </si>
  <si>
    <t>FR-ISS 186</t>
  </si>
  <si>
    <t>FR-ISS 187</t>
  </si>
  <si>
    <t>2 Fibre G657A2 Dual Drop Cable - 3.8mm</t>
  </si>
  <si>
    <t>4 Fibre G657A2 Dual Drop Cable - 3.8mm</t>
  </si>
  <si>
    <t>6 Fibre G657A2 Dual Drop Cable - 3.8mm</t>
  </si>
  <si>
    <t>8 Fibre G657A2 Dual Drop Cable - 3.8mm</t>
  </si>
  <si>
    <t>12 Fibre G657A2 Dual Drop Cable - 3.8mm</t>
  </si>
  <si>
    <t>24 Fibre G657A2 (200um) Dual Drop Cable - 4.0mm</t>
  </si>
  <si>
    <t>2 F DUAL DROP CABLE</t>
  </si>
  <si>
    <t>4 F DUAL DROP CABLE</t>
  </si>
  <si>
    <t>6 F DUAL DROP CABLE</t>
  </si>
  <si>
    <t>8 F DUAL DROP CABLE</t>
  </si>
  <si>
    <t>12 F DUAL DROP CABLE</t>
  </si>
  <si>
    <t>24 F DUAL DROP CABLE</t>
  </si>
  <si>
    <t>7.5 m Composite Pole (108mm) - Basic Light duty</t>
  </si>
  <si>
    <t>9 m Composite Pole (138mm) - Basic Meduim duty</t>
  </si>
  <si>
    <t>11 m Composite Pole (170mm) - Basic Heavy duty</t>
  </si>
  <si>
    <t>Rate</t>
  </si>
  <si>
    <t>Quote to Auger to Plant Poles</t>
  </si>
  <si>
    <t xml:space="preserve">OSP - Applicable to RET Contractors only _ P&amp;Gs: OSP - an additional R5.00 per meter when excavation and backfilling of trench in normal soil pickable (400 mm width x 700 mm depth) </t>
  </si>
  <si>
    <t>Excavation and backfilling of trench in Hard Soil (400mm width x 700mm depth)</t>
  </si>
  <si>
    <t>WALLS &amp; SPECILISED SURFACES</t>
  </si>
  <si>
    <t>ISP Trenching Capping</t>
  </si>
  <si>
    <t>per day</t>
  </si>
  <si>
    <t>Sand Bags (bag purchase &amp; filling with sand)</t>
  </si>
  <si>
    <t>16.07.1</t>
  </si>
  <si>
    <t>Link Africa Contribution of 30% of The Local CLO Cost @ R500 per person/day as Requested By Local Councillors</t>
  </si>
  <si>
    <t>14,10,1</t>
  </si>
  <si>
    <t>14,10,2</t>
  </si>
  <si>
    <t>Price4C:  R 200.00 per DP – Survey and Planning : payable for a Gated SDU complex with existing ducts or where above ground deployment can be used no trenching required (brown for all units)</t>
  </si>
  <si>
    <t>Price4D:  R 1600.00 per DP – Build Only : payable for a Gated SDU complex with existing ducts or where above ground deployment can be used no trenching required (brown for all units)</t>
  </si>
  <si>
    <t>Civil &amp; 3rd Party Distance</t>
  </si>
  <si>
    <t>FR-ISS 67</t>
  </si>
  <si>
    <t>5,01,1</t>
  </si>
  <si>
    <r>
      <rPr>
        <b/>
        <sz val="9"/>
        <color rgb="FF000000"/>
        <rFont val="Calibri"/>
        <family val="2"/>
      </rPr>
      <t>ISP</t>
    </r>
    <r>
      <rPr>
        <sz val="9"/>
        <color rgb="FF000000"/>
        <rFont val="Calibri"/>
        <family val="2"/>
      </rPr>
      <t xml:space="preserve"> - Break (already cut asphalt  or concrete), excavation and backfilling of trench in normal soil including cutting/asphalt / concrete &gt;100mm thick  (300mm width x 400mm depth) </t>
    </r>
  </si>
  <si>
    <t>ACTIVE EQUIPMENT</t>
  </si>
  <si>
    <t>Raisecom RAX700</t>
  </si>
  <si>
    <t>Raisecom LANET1</t>
  </si>
  <si>
    <t>Raisecom LANET2</t>
  </si>
  <si>
    <t>Raisecom Brackets</t>
  </si>
  <si>
    <t>RaisecomBRK</t>
  </si>
  <si>
    <t>2M Power Cord With Dedicated Plug Top</t>
  </si>
  <si>
    <t>Power Cord</t>
  </si>
  <si>
    <t>Copper Patchcord CAT5E 1M Grey</t>
  </si>
  <si>
    <t>RJ45 Cord 1m</t>
  </si>
  <si>
    <t>Cage Nuts</t>
  </si>
  <si>
    <t>GENERIC (DOM) 1G SFP 1310NM 10KM FS</t>
  </si>
  <si>
    <t>GENERIC (DOM) 1G SFP 1310NM 20KM FS</t>
  </si>
  <si>
    <t>GENERIC (DOM) 10G SFP 1310NM 80KM FS</t>
  </si>
  <si>
    <t>BIDI 1G 1550/1310 10KM [CLIENT]</t>
  </si>
  <si>
    <t>SFP DOM1G1310NM10kmFS</t>
  </si>
  <si>
    <t>SFP DOM1G1310NM20kmFS</t>
  </si>
  <si>
    <t>SFP DOM10G1310NM80kmLR</t>
  </si>
  <si>
    <t>SFP BIDI1G1550/131010KM-C</t>
  </si>
  <si>
    <t>SFP BIDI1G1550/131010KM-P</t>
  </si>
  <si>
    <t>BX-BIDI 1G 1550/1310 10KM [POP]</t>
  </si>
  <si>
    <t>SFP BIDI1G1550/131020KM-C</t>
  </si>
  <si>
    <t>BIDI 1G 1550/1310 20KM [CLIENT]</t>
  </si>
  <si>
    <t>SFP BIDI1G1550/131020KM-P</t>
  </si>
  <si>
    <t>BX-BIDI 1G 1550/1310 20KM [POP]</t>
  </si>
  <si>
    <t>SFP BIDI1G1550/131040KM-C</t>
  </si>
  <si>
    <t>SFP BIDI1G1550/131040KM-P</t>
  </si>
  <si>
    <t>BIDI 1G 1550/1310 40KM [CLIENT]</t>
  </si>
  <si>
    <t>BX-BIDI 1G 1550/1310 40KM [POP]</t>
  </si>
  <si>
    <t>Huawei HG8310M 1Fe/Ge Port Gpon ONT</t>
  </si>
  <si>
    <t>Huawei ONT</t>
  </si>
  <si>
    <t>Network Type</t>
  </si>
  <si>
    <t>SFP DOM1G1310NM40kmFS</t>
  </si>
  <si>
    <t>GENERIC (DOM) 1G SFP 1310NM 40KM FS</t>
  </si>
  <si>
    <t>Network Type No.</t>
  </si>
  <si>
    <t>Network Infrastructure Description</t>
  </si>
  <si>
    <t>Network Infrastructure Unique ID</t>
  </si>
  <si>
    <t>NET1</t>
  </si>
  <si>
    <t>SD Circuit ID</t>
  </si>
  <si>
    <t>6,03,1</t>
  </si>
  <si>
    <t>Reposition or Install small concrete precast manhole  including rings with knockouts and precast cover (Internal dimensions 1000mm (diameter)x500mm (Depth)  with knockouts  wall thickness 65mm to 75mm)</t>
  </si>
  <si>
    <t>6,08,1</t>
  </si>
  <si>
    <t>Reposition or Install Polymer 500x500mm Manhole</t>
  </si>
  <si>
    <t>Supply and Label Micro Duct on ISP Installations (Heat Shrink, Arrow Label holders, Brother Tape &amp; Cable Ties)</t>
  </si>
  <si>
    <t>Supply and Label Micro Duct on ISP Installations (Brother Tape on the 1 Way)</t>
  </si>
  <si>
    <t xml:space="preserve">Re-instatement of asphalt  ≤ 100mm thick </t>
  </si>
  <si>
    <t>External wall core drilling - diameter &gt;150mm (Building outer wall &gt; 250mm wide)</t>
  </si>
  <si>
    <t>Install optic cable onto cable trays, risers or in ceilings</t>
  </si>
  <si>
    <t>Install 40mm, 7 way, 4 way, 2 way or 1 way duct onto cable tray, riser, in ceiling or under false floor</t>
  </si>
  <si>
    <t>A-88-DB1</t>
  </si>
  <si>
    <t>Stay Wire 7 x 1.7mm</t>
  </si>
  <si>
    <t>STAYWIRE 7/1.70</t>
  </si>
  <si>
    <t>Bracket 45DEG for Stay Wire Grip</t>
  </si>
  <si>
    <t>TGGB-45</t>
  </si>
  <si>
    <t>TGG 201</t>
  </si>
  <si>
    <t>Guy Grip for 7/1.7mm Stay Wire</t>
  </si>
  <si>
    <t>FIBRE-SLACK-BIN</t>
  </si>
  <si>
    <t>PSB300P</t>
  </si>
  <si>
    <t>FDE 375/414</t>
  </si>
  <si>
    <t>Dead End FDE 375/414 for ADSS 9.5-10.5mm (12 &amp; 24 Fibre)</t>
  </si>
  <si>
    <t>FDE 415/459</t>
  </si>
  <si>
    <t>Dead End FDE 415/459 for ADSS 10.54-11.66mm (48 &amp; 72 Fibre)</t>
  </si>
  <si>
    <t>FDE 616/680</t>
  </si>
  <si>
    <t>Dead end FDE 616/680 for ADSS 15.6-17.27mm (144 Fibre)</t>
  </si>
  <si>
    <t>Tangent Support FOT 375/414 for ADSS 9.5-10.5mm (12 &amp; 24 Fibre)</t>
  </si>
  <si>
    <t>FOT 375/414</t>
  </si>
  <si>
    <t>Tangent Support FOT 398/425 for ADSS 10.1-10.8mm (48 Fibre)</t>
  </si>
  <si>
    <t>FOT 398/425</t>
  </si>
  <si>
    <t>Tangent Support FOT 426/455 for ADSS 10.8-11.5mm (72 Fibre)</t>
  </si>
  <si>
    <t>FOT 426/455</t>
  </si>
  <si>
    <t>FOT 595/630</t>
  </si>
  <si>
    <t>19mm Strapping (covers 18 Slack brackets)</t>
  </si>
  <si>
    <t>BLC136SA</t>
  </si>
  <si>
    <t>BLC956SA</t>
  </si>
  <si>
    <t>19mm Buckles (Supplied in boxes of 100)</t>
  </si>
  <si>
    <t>HB1-10-MI</t>
  </si>
  <si>
    <t>HB2-10-MI</t>
  </si>
  <si>
    <t>Suspension Hook Single</t>
  </si>
  <si>
    <t>Suspension Hook Double</t>
  </si>
  <si>
    <t>M12X220BHT120HD</t>
  </si>
  <si>
    <t>M12X220 HDG 120mm Thread Bolt with Nut &amp; Washer</t>
  </si>
  <si>
    <t>Survey, Drill or Dig and Plant Stays or Stay Plates and Rods As Surveyed 12mm Stay Hole (350mm X 350mm X 1000mm Deep) Including Stay Wire 7 x 1.7mm, Guy Grip,Bracket 45DEG for Stay Wire Grip and Duckbill Stay Anchor</t>
  </si>
  <si>
    <t>Tangent Support FOT 595/630 for ADSS 15.11-16.0mm (144 Fibre)</t>
  </si>
  <si>
    <t>Install M12 x 220 Pigtail bolt nut and washer with Double Hook and Dead End FDE 415/459 for ADSS 10.54-11.66mm (48 &amp; 72 Fibre)</t>
  </si>
  <si>
    <t>Install M12 x 220 Pigtail bolt nut and washer with Double Hook and Dead end FDE 616/680 for ADSS 15.6-17.27mm (144 Fibre)</t>
  </si>
  <si>
    <t>Install M12 x 220 Pigtail bolt nut and washer with Single Hook and Tangent Support FOT 398/425 for ADSS 10.1-10.8mm (48 Fibre)</t>
  </si>
  <si>
    <t>Install M12 x 220 Pigtail bolt nut and washer with Single Hook and Tangent Support FOT 426/455 for ADSS 10.8-11.5mm (72 Fibre)</t>
  </si>
  <si>
    <t>Install M12 x 220 Pigtail bolt nut and washer with Single Hook and Tangent Support FOT 595/630 for ADSS 15.11-16.0mm (144 Fibre)</t>
  </si>
  <si>
    <t>Special Build NRC</t>
  </si>
  <si>
    <t>LA 600X600 (DMC)</t>
  </si>
  <si>
    <t>LA 900X900 (DMC)</t>
  </si>
  <si>
    <t>VERTICASA</t>
  </si>
  <si>
    <t>1/3/24/13/004</t>
  </si>
  <si>
    <t>1/3/24/13/003</t>
  </si>
  <si>
    <t>1/3/24/13/001</t>
  </si>
  <si>
    <t>1/3/24/01/001</t>
  </si>
  <si>
    <t>1/1/24/20/003</t>
  </si>
  <si>
    <t>Flextube Indoor Cable Verticasa 48x2F G657A1 (96F) (2000m)</t>
  </si>
  <si>
    <t>1/1/24/20/004</t>
  </si>
  <si>
    <t>Flextube Indoor Cable Verticasa 12x2F G657A2 (24F) (2000m)</t>
  </si>
  <si>
    <t>1/1/24/20/005</t>
  </si>
  <si>
    <t>Flextube Indoor Cable Verticasa 24x2F G657A2 (48F) (2000m)</t>
  </si>
  <si>
    <t>2/1/10/20/006</t>
  </si>
  <si>
    <t>Drop Cable Internal G657A2 LSZN WHI 02F (2000m)</t>
  </si>
  <si>
    <t>2/1/10/20/054</t>
  </si>
  <si>
    <t>Drop Cable 4F G657A1_SM Mini Duct 3,4mm LSZH (2000m)</t>
  </si>
  <si>
    <t>Drop Cable Total</t>
  </si>
  <si>
    <t>Install 2 / 4 / 6 / 8 / 12 / 24 Fibre Optic Drop Cable in 1 / 2 / 4 / 7 way micro duct</t>
  </si>
  <si>
    <t>Network Description</t>
  </si>
  <si>
    <t>Blank</t>
  </si>
  <si>
    <t>Link Africa traditional network, including [PoPs, Fibre Routes Link Africa, and Connected Locations]</t>
  </si>
  <si>
    <t>Multitenant Building [Partially Reticulated: e.g., Retail/Malls]</t>
  </si>
  <si>
    <t>NET2.1</t>
  </si>
  <si>
    <t>NET2.2</t>
  </si>
  <si>
    <t>Multitenant Building [Fully Reticulated: e.g., Retail/Malls]</t>
  </si>
  <si>
    <t>NET3.1</t>
  </si>
  <si>
    <t>3rd Party/Managed Controlled Network Area on LA built network.</t>
  </si>
  <si>
    <t>NET3.2</t>
  </si>
  <si>
    <t>3rd Party/Managed Controlled Network Area on acquired network.</t>
  </si>
  <si>
    <t>NET4</t>
  </si>
  <si>
    <t>Pre-Fibred FTTB Precinct</t>
  </si>
  <si>
    <t>NET5</t>
  </si>
  <si>
    <t>Network POP on the acquired/LA-Net2 network, with build required to it. [excluding DFA-Precinct node]</t>
  </si>
  <si>
    <t>NET6.1</t>
  </si>
  <si>
    <t>NET6.2.0</t>
  </si>
  <si>
    <t>NET6.2.1</t>
  </si>
  <si>
    <t>NET6.3</t>
  </si>
  <si>
    <t>NET6.4</t>
  </si>
  <si>
    <t>NET6.5</t>
  </si>
  <si>
    <t>NET6.6</t>
  </si>
  <si>
    <t>Peregrine - DFA Access/Backhaul Link</t>
  </si>
  <si>
    <t>Helios - DFA Access/Backhaul Link</t>
  </si>
  <si>
    <t>DD/IS Managed Port Enterprise Service - DFA Access/Backhaul Link</t>
  </si>
  <si>
    <t>Calypte Metro - DFA Access/Backhaul Link</t>
  </si>
  <si>
    <t>Calypte Long Haul - DFA Access/Backhaul Link</t>
  </si>
  <si>
    <t>Magellan - DFA Access/Backhaul Link</t>
  </si>
  <si>
    <t>Tachyon - DFA Access/Backhaul Link</t>
  </si>
  <si>
    <t>NET7</t>
  </si>
  <si>
    <t>SAS Fibre Route</t>
  </si>
  <si>
    <t>NET8</t>
  </si>
  <si>
    <t>3rd Party Backhaul or Last-Mile Link - e.g., MTN, BBI, Liquid</t>
  </si>
  <si>
    <t>NET9</t>
  </si>
  <si>
    <t>POPs or DC that permit only Internal Clients Sales, no external connections are permitted into this POP</t>
  </si>
  <si>
    <t>LC/APC to SC/UPC PATCH LEAD 1m SIMPLEX (Small Green-Large Blue)</t>
  </si>
  <si>
    <t>LC/APC to SC/UPC PATCH LEAD 2m SIMPLEX (Small Green-Large Blue)</t>
  </si>
  <si>
    <t>LC/APC to SC/UPC PATCH LEAD 3m SIMPLEX (Small Green-Large Blue)</t>
  </si>
  <si>
    <t>LC/APC to SC/UPC PATCH LEAD 5m SIMPLEX (Small Green-Large Blue)</t>
  </si>
  <si>
    <t>LC/APC to SC/UPC PATCH LEAD 10m SIMPLEX (Small Green-Large Blue)</t>
  </si>
  <si>
    <t>LC/APC to LC/APC PATCH LEAD 1M DUPLEX (Small Green-Small Green)</t>
  </si>
  <si>
    <t>LC/APC to LC/APC PATCH LEAD 2M DUPLEX (Small Green-Small Green)</t>
  </si>
  <si>
    <t>LC/APC to LC/APC PATCH LEAD 3M DUPLEX (Small Green-Small Green)</t>
  </si>
  <si>
    <t>LC/APC to LC/APC PATCH LEAD 5M DUPLEX (Small Green-Small Green)</t>
  </si>
  <si>
    <t>LC/APC to LC/APC PATCH LEAD 10M DUPLEX (Small Green-Small Green)</t>
  </si>
  <si>
    <t>LC/APC to LC/UPC PATCH LEAD 1M DUPLEX (Small Green-Small Blue)</t>
  </si>
  <si>
    <t>LC/APC to LC/UPC PATCH LEAD 2M DUPLEX (Small Green-Small Blue)</t>
  </si>
  <si>
    <t>LC/APC to LC/UPC PATCH LEAD 3M DUPLEX (Small Green-Small Blue)</t>
  </si>
  <si>
    <t>LC/APC to LC/UPC PATCH LEAD 5M DUPLEX (Small Green-Small Blue)</t>
  </si>
  <si>
    <t>LC/APC to LC/UPC PATCH LEAD 10M DUPLEX (Small Green-Small Blue)</t>
  </si>
  <si>
    <t>LC/UPC to LC/UPC PATCH LEAD 1M DUPLEX (Small Blue-Small Blue)</t>
  </si>
  <si>
    <t>LC/UPC to LC/UPC PATCH LEAD 2M DUPLEX (Small Blue-Small Blue)</t>
  </si>
  <si>
    <t>LC/UPC to LC/UPC PATCH LEAD 3M DUPLEX (Small Blue-Small Blue)</t>
  </si>
  <si>
    <t>LC/UPC to LC/UPC PATCH LEAD 5M DUPLEX (Small Blue-Small Blue)</t>
  </si>
  <si>
    <t>LC/UPC to LC/UPC PATCH LEAD 10M DUPLEX (Small Blue-Small Blue)</t>
  </si>
  <si>
    <t>PATLC/APC-SC/UPC-1m-SX (SG-LB)</t>
  </si>
  <si>
    <t>PATLC/APC-SC/UPC-2m-SX (SG-LB)</t>
  </si>
  <si>
    <t>PATLC/APC-SC/UPC-3m-SX (SG-LB)</t>
  </si>
  <si>
    <t>PATLC/APC-SC/UPC-5m-SX (SG-LB)</t>
  </si>
  <si>
    <t>PATLC/APC-SC/UPC-10m-SX (SG-LB)</t>
  </si>
  <si>
    <t>PATLC/APC-LC/APC-1m-DX (SG-SG)</t>
  </si>
  <si>
    <t>PATLC/APC-LC/APC-2m-DX (SG-SG)</t>
  </si>
  <si>
    <t>PATLC/APC-LC/APC-3m-DX (SG-SG)</t>
  </si>
  <si>
    <t>PATLC/APC-LC/APC-5m-DX (SG-SG)</t>
  </si>
  <si>
    <t>PATLC/APC-LC/APC-10m-DX (SG-SG)</t>
  </si>
  <si>
    <t>PATLC/APC-LC/UPC-1m-DX (SG-SB)</t>
  </si>
  <si>
    <t>PATLC/APC-LC/UPC-2m-DX (SG-SB)</t>
  </si>
  <si>
    <t>PATLC/APC-LC/UPC-3m-DX (SG-SB)</t>
  </si>
  <si>
    <t>PATLC/APC-LC/UPC-5m-DX (SG-SB)</t>
  </si>
  <si>
    <t>PATLC/APC-LC/UPC-10m-DX (SG-SB)</t>
  </si>
  <si>
    <t>PATLC/UPC-LC/UPC-1m-DX (SB-SB)</t>
  </si>
  <si>
    <t>PATLC/UPC-LC/UPC-2m-DX (SB-SB)</t>
  </si>
  <si>
    <t>PATLC/UPC-LC/UPC-3m-DX (SB-SB)</t>
  </si>
  <si>
    <t>PATLC/UPC-LC/UPC-5m-DX (SB-SB)</t>
  </si>
  <si>
    <t>PATLC/UPC-LC/UPC-10m-DX (SB-SB)</t>
  </si>
  <si>
    <t>12 Core Aerial Cable (ADSS)</t>
  </si>
  <si>
    <t>144 Core Aerial Cable (ADSS)</t>
  </si>
  <si>
    <t>ADSS12F</t>
  </si>
  <si>
    <t>ADSS24F</t>
  </si>
  <si>
    <t>ADSS48F</t>
  </si>
  <si>
    <t>ADSS72F</t>
  </si>
  <si>
    <t>ADSS144F</t>
  </si>
  <si>
    <t>AC 12</t>
  </si>
  <si>
    <t>AC 144</t>
  </si>
  <si>
    <t>Termination Pole</t>
  </si>
  <si>
    <t>Aerial</t>
  </si>
  <si>
    <t>Item</t>
  </si>
  <si>
    <t xml:space="preserve">Item Code </t>
  </si>
  <si>
    <t>UOM</t>
  </si>
  <si>
    <t xml:space="preserve">Units </t>
  </si>
  <si>
    <t xml:space="preserve">Single hook </t>
  </si>
  <si>
    <t>Each</t>
  </si>
  <si>
    <t xml:space="preserve">Deadend </t>
  </si>
  <si>
    <t xml:space="preserve">See size chart </t>
  </si>
  <si>
    <t xml:space="preserve">Tangent </t>
  </si>
  <si>
    <t xml:space="preserve">Double hook </t>
  </si>
  <si>
    <t>Deadend</t>
  </si>
  <si>
    <t>Bandit strapping (20M)</t>
  </si>
  <si>
    <t>Bandit buckle (100 per Box)</t>
  </si>
  <si>
    <t>Stays</t>
  </si>
  <si>
    <t>Duckbill Stay Anchor</t>
  </si>
  <si>
    <t>Count</t>
  </si>
  <si>
    <t>12 Fibre Poles</t>
  </si>
  <si>
    <t>24 Fibre Poles</t>
  </si>
  <si>
    <t>48 Fibre Poles</t>
  </si>
  <si>
    <t>72 Fibre Poles</t>
  </si>
  <si>
    <t>144 Fibre Poles</t>
  </si>
  <si>
    <t>Thread Bolt with Nut &amp; Washer</t>
  </si>
  <si>
    <t>Route Start Span or End Span if no Termination Pole</t>
  </si>
  <si>
    <t>Existing Pole (Route Start)</t>
  </si>
  <si>
    <t>Existing Pole (Mid Span)</t>
  </si>
  <si>
    <t>Existing Pole (Termination)</t>
  </si>
  <si>
    <t>Existing Pole (Direction Change)</t>
  </si>
  <si>
    <t>AC 4 (Drop Cable)</t>
  </si>
  <si>
    <t>POLE TYPE PIVOT</t>
  </si>
  <si>
    <t>New Pole 9m (Route Start)</t>
  </si>
  <si>
    <t>4 Core Aerial Cable (ADSS) - Drop Cable</t>
  </si>
  <si>
    <t>New Pole 9m (Mid Span)</t>
  </si>
  <si>
    <t>New Pole 9m (Direction Change)</t>
  </si>
  <si>
    <t>New Pole 7,2m (Route Start)</t>
  </si>
  <si>
    <t>New Pole 7,2m (Mid Span)</t>
  </si>
  <si>
    <t>New Pole 7,2m (Direction Change)</t>
  </si>
  <si>
    <t>New Pole 7,2m (Termination)</t>
  </si>
  <si>
    <t>New Pole 9m (Termination)</t>
  </si>
  <si>
    <t>Mid Span Pole</t>
  </si>
  <si>
    <t>Directional Change Pole</t>
  </si>
  <si>
    <t>ADSS4F</t>
  </si>
  <si>
    <t>ADSS8F</t>
  </si>
  <si>
    <t>8 Core Aerial Cable (ADSS) - Drop Cable</t>
  </si>
  <si>
    <t>Dead End FDE 375/414 for ADSS 9.5-10.5mm (4, 8, 12 &amp; 24 Fibre)</t>
  </si>
  <si>
    <t>Tangent Support FOT 375/414 for ADSS 9.5-10.5mm (4, 8, 12 &amp; 24 Fibre)</t>
  </si>
  <si>
    <t>AC 8 (Drop Cable)</t>
  </si>
  <si>
    <t>Install M12 x 220 Pigtail bolt nut and washer with Double Hook and Dead End FDE 375/414 for ADSS 9.5-10.5mm (4, 8, 12 &amp; 24 Fibre)</t>
  </si>
  <si>
    <t>Install M12 x 220 Pigtail bolt nut and washer with Single Hook and Tangent Support FOT 375/414 for ADSS 9.5-10.5mm (4, 8, 12 &amp; 24 Fibre)</t>
  </si>
  <si>
    <t>4 Fibre Poles</t>
  </si>
  <si>
    <t>8 Fibre Poles</t>
  </si>
  <si>
    <r>
      <t>Soil (m</t>
    </r>
    <r>
      <rPr>
        <sz val="10"/>
        <color rgb="FF000000"/>
        <rFont val="Calibri"/>
        <family val="2"/>
      </rPr>
      <t>³</t>
    </r>
    <r>
      <rPr>
        <sz val="10"/>
        <color rgb="FF000000"/>
        <rFont val="Arial Narrow"/>
        <family val="2"/>
      </rPr>
      <t>)</t>
    </r>
  </si>
  <si>
    <t>Price (m³)</t>
  </si>
  <si>
    <r>
      <rPr>
        <b/>
        <sz val="9"/>
        <color rgb="FF000000"/>
        <rFont val="Calibri"/>
        <family val="2"/>
      </rPr>
      <t>ISP</t>
    </r>
    <r>
      <rPr>
        <sz val="9"/>
        <color rgb="FF000000"/>
        <rFont val="Calibri"/>
        <family val="2"/>
      </rPr>
      <t xml:space="preserve"> - Excavation and backfilling of trench including cutting/breaking of vegetation/ Landscaping  450mm width  x 1000mm depth </t>
    </r>
  </si>
  <si>
    <r>
      <rPr>
        <b/>
        <sz val="9"/>
        <rFont val="Calibri"/>
        <family val="2"/>
      </rPr>
      <t>OSP</t>
    </r>
    <r>
      <rPr>
        <sz val="9"/>
        <rFont val="Calibri"/>
        <family val="2"/>
      </rPr>
      <t xml:space="preserve"> - Excavation and backfilling of trench in normal soil - 300mm width x 700mm depth including trench covered by ≤  100mm of asphalt  or concrete (Pickable 18Mpa) </t>
    </r>
  </si>
  <si>
    <r>
      <rPr>
        <b/>
        <sz val="9"/>
        <color rgb="FF000000"/>
        <rFont val="Calibri"/>
        <family val="2"/>
      </rPr>
      <t>ISP</t>
    </r>
    <r>
      <rPr>
        <sz val="9"/>
        <color rgb="FF000000"/>
        <rFont val="Calibri"/>
        <family val="2"/>
      </rPr>
      <t xml:space="preserve"> - Excavation and backfilling of trench in normal soil - 450mm width x  1000mm depth including trench covered by ≤ 100mm of asphalt  or concrete (Pickable 18Mpa)</t>
    </r>
  </si>
  <si>
    <t>Excavation of trial pit to prove municipal duct  (400mm width x 1000mm Length x 1000mm depth)</t>
  </si>
  <si>
    <r>
      <rPr>
        <b/>
        <sz val="9"/>
        <rFont val="Calibri"/>
        <family val="2"/>
      </rPr>
      <t>ISP</t>
    </r>
    <r>
      <rPr>
        <sz val="9"/>
        <rFont val="Calibri"/>
        <family val="2"/>
      </rPr>
      <t xml:space="preserve"> - Excavation and backfilling of trench in normal soil - 300mm width x 700mm depth including trench covered by ≤  100mm of asphalt  or concrete (Pickable 18Mpa) </t>
    </r>
  </si>
  <si>
    <r>
      <rPr>
        <b/>
        <sz val="9"/>
        <color rgb="FF000000"/>
        <rFont val="Calibri"/>
        <family val="2"/>
      </rPr>
      <t>ISP</t>
    </r>
    <r>
      <rPr>
        <sz val="9"/>
        <color rgb="FF000000"/>
        <rFont val="Calibri"/>
        <family val="2"/>
      </rPr>
      <t xml:space="preserve"> - Excavation and backfilling of trench in normal soil including cutting/asphalt / concrete &gt;100mm thick  (450mm width x 1000mm depth) </t>
    </r>
  </si>
  <si>
    <r>
      <rPr>
        <b/>
        <sz val="9"/>
        <rFont val="Calibri"/>
        <family val="2"/>
      </rPr>
      <t>OSP</t>
    </r>
    <r>
      <rPr>
        <sz val="9"/>
        <rFont val="Calibri"/>
        <family val="2"/>
      </rPr>
      <t xml:space="preserve"> - Excavation and backfilling of trench in normal soil - 450mm width x 1000mm depth including trench covered by ≤  100mm of asphalt  or concrete (Pickable 18Mpa) 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</si>
  <si>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Excavation and backfilling of trench in normal soil including cutting/asphalt / concrete &gt;100mm thick (450mm width x 1000mm  depth) 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</si>
  <si>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Excavation and Backfilling of trench in normal soil  Pickable (450 mm width x 1000 mm depth) </t>
    </r>
  </si>
  <si>
    <r>
      <rPr>
        <b/>
        <sz val="9"/>
        <rFont val="Calibri"/>
        <family val="2"/>
      </rPr>
      <t>OSP</t>
    </r>
    <r>
      <rPr>
        <sz val="9"/>
        <rFont val="Calibri"/>
        <family val="2"/>
      </rPr>
      <t xml:space="preserve"> - Break (already cut asphalt or concrete), excavation and backfilling of trench in normal soil 450mm width x 1000mm depth including trench covered by ≤  100mm of asphalt or concrete (Pickable 18Mpa)</t>
    </r>
  </si>
  <si>
    <r>
      <rPr>
        <b/>
        <sz val="9"/>
        <rFont val="Calibri"/>
        <family val="2"/>
      </rPr>
      <t>OSP</t>
    </r>
    <r>
      <rPr>
        <sz val="9"/>
        <rFont val="Calibri"/>
        <family val="2"/>
      </rPr>
      <t xml:space="preserve"> - Break (already cut asphalt or concrete), excavation and backfilling of trench in normal soil 400mm width x 700mm depth including trench covered by ≤  100mm of asphalt or concrete (Pickable 18Mpa)</t>
    </r>
  </si>
  <si>
    <r>
      <rPr>
        <b/>
        <sz val="9"/>
        <color rgb="FF000000"/>
        <rFont val="Calibri"/>
        <family val="2"/>
      </rPr>
      <t>ISP</t>
    </r>
    <r>
      <rPr>
        <sz val="9"/>
        <color rgb="FF000000"/>
        <rFont val="Calibri"/>
        <family val="2"/>
      </rPr>
      <t xml:space="preserve"> - Break (already cut asphalt or concrete), excavation and backfilling of trench in normal soil - 300mm width x  400mm depth including trench covered by ≤ 100mm of asphalt or concrete (Pickable 18Mpa)</t>
    </r>
  </si>
  <si>
    <r>
      <rPr>
        <b/>
        <sz val="9"/>
        <color rgb="FF000000"/>
        <rFont val="Calibri"/>
        <family val="2"/>
      </rPr>
      <t>ISP</t>
    </r>
    <r>
      <rPr>
        <sz val="9"/>
        <color rgb="FF000000"/>
        <rFont val="Calibri"/>
        <family val="2"/>
      </rPr>
      <t xml:space="preserve"> - Break (already cut asphalt or concrete), excavation and backfilling of trench in normal soil 400mm width x 700mm depth including trench covered by &gt;100mm of asphalt or concrete (Pickable 18Mpa)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</si>
  <si>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Break (already cut asphalt or concrete), excavation and backfilling of trench in normal soil 400mm width x 700mm depth including trench covered by &gt;100mm of asphalt or concrete (Pickable 18Mpa)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</si>
  <si>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Break (already cut asphalt or concrete), excavation and backfilling of trench in normal soil 450mm width x 1000mm depth including trench covered by &gt;100mm of asphalt or concrete (Pickable 18Mpa)</t>
    </r>
  </si>
  <si>
    <t>Fiber Media Converter</t>
  </si>
  <si>
    <t>Verticasa - Tube Plugs</t>
  </si>
  <si>
    <t>Verticasa - Riser Cable Protection Cover</t>
  </si>
  <si>
    <t>Verticasa - Riser Cable Breakout Unit 4 Port</t>
  </si>
  <si>
    <t>Verticasa - Mechanical Splice Holder</t>
  </si>
  <si>
    <t>1/1/11/20/001</t>
  </si>
  <si>
    <t>Verticasa - Drop Tube Int + Draw Rope</t>
  </si>
  <si>
    <t>Complete ISP as-built documents</t>
  </si>
  <si>
    <t>Complete OSP as-built information</t>
  </si>
  <si>
    <t>Media Converter</t>
  </si>
  <si>
    <t>FR-ISS 188</t>
  </si>
  <si>
    <t>FR-ISS 189</t>
  </si>
  <si>
    <t>FR-ISS 190</t>
  </si>
  <si>
    <t>Full Turnkey Drop Cable installation by Contractor in Connected Building</t>
  </si>
  <si>
    <t>Per Drop</t>
  </si>
  <si>
    <t>Payback Period in Months</t>
  </si>
  <si>
    <t>Link Description (Site A-Site B)</t>
  </si>
  <si>
    <t>Payback Period in Years</t>
  </si>
  <si>
    <t>IN BUILDING</t>
  </si>
  <si>
    <t>VERTICASA (2X12) 24F</t>
  </si>
  <si>
    <t>VERTICASA (2X24) 48F</t>
  </si>
  <si>
    <t>VERTICASA (2X48) 96F</t>
  </si>
  <si>
    <t>DIRECT</t>
  </si>
  <si>
    <t>EXISTING DUCTING</t>
  </si>
  <si>
    <t>NEW 209 JOINT</t>
  </si>
  <si>
    <t>NEW 204 JOINT</t>
  </si>
  <si>
    <t>NEW MINI JOINT</t>
  </si>
  <si>
    <t>NEW VERTICASA JOINT</t>
  </si>
  <si>
    <t>EXISTING 209 JOINT</t>
  </si>
  <si>
    <t>EXISTING 204 JOINT</t>
  </si>
  <si>
    <t>EXISTING MINI JOINT</t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</si>
  <si>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Excavation and backfilling of trench including cutting/breaking of vegetation/ Landscaping  (300mm width  x 700mm depth )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</si>
  <si>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Excavation and backfilling of trench including cutting/breaking of vegetation/ Landscaping  (450mm width  x 1000mm depth)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</si>
  <si>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Excavation and Backfilling of trench in normal soil  Pickable using a Tractor Loader Backhoe (TLB) (300mm width x 600 to 800mm depth) 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</si>
  <si>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Excavation and Backfilling of trench in Intermediate soil  using a Tractor Loader Backhoe (TLB) (300mm width x 600 to 800mm depth) 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</si>
  <si>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Excavation and Backfilling of trench using a Compact Mechanical Trenching Machine (160mm width x 600 to 800mm depth)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</si>
  <si>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Excavation and Backfilling of trench using a Compact Mechanical Trenching Machine including installation of duct in trench (160mm width x 600 to 800mm depth)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</si>
  <si>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Excavation and Backfilling of trench in Intermediate soil using a Compact Mechanical Trenching Machine including installation of duct in trench (160mm width x 600 to 800mm depth)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</si>
  <si>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Break, excavation and backfilling of trench in hard soil (Mechanical tools required) (450mm width x 1000mm depth)</t>
    </r>
  </si>
  <si>
    <t>OSP - Break, excavation and backfilling of trench including cutting/breaking of vegetation/ Landscaping in hard soil (Mechanical tools required) (450mm width  x 1000mm depth)</t>
  </si>
  <si>
    <t>6.13</t>
  </si>
  <si>
    <t>77K0057591</t>
  </si>
  <si>
    <t xml:space="preserve">Eletronic Communications Network (Pty) Ltd </t>
  </si>
  <si>
    <t>Siphamandla Sokhela</t>
  </si>
  <si>
    <t>Phoenix Industrial Access PoP - ECN - Roots Dube Village</t>
  </si>
  <si>
    <t>Ethekwini</t>
  </si>
  <si>
    <t>08/18/2023</t>
  </si>
  <si>
    <t>Desrae Naidoo</t>
  </si>
  <si>
    <t>202 3 /08/24</t>
  </si>
  <si>
    <t>Date: 2023/08/25</t>
  </si>
  <si>
    <t>Link Business</t>
  </si>
  <si>
    <t>In 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</si>
</sst>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9">
    <numFmt numFmtId="41" formatCode="_-* #,##0_-;\-* #,##0_-;_-* &quot;-&quot;_-;_-@_-"/>
    <numFmt numFmtId="164" formatCode="_(* #,##0.00_);_(* \(#,##0.00\);_(* &quot;-&quot;??_);_(@_)"/>
    <numFmt numFmtId="165" formatCode="&quot;R&quot;\ #,##0.00;&quot;R&quot;\ \-#,##0.00"/>
    <numFmt numFmtId="166" formatCode="&quot;R&quot;\ #,##0.00;[Red]&quot;R&quot;\ \-#,##0.00"/>
    <numFmt numFmtId="167" formatCode="_ &quot;R&quot;\ * #,##0.00_ ;_ &quot;R&quot;\ * \-#,##0.00_ ;_ &quot;R&quot;\ * &quot;-&quot;??_ ;_ @_ "/>
    <numFmt numFmtId="168" formatCode="_ * #,##0.00_ ;_ * \-#,##0.00_ ;_ * &quot;-&quot;??_ ;_ @_ "/>
    <numFmt numFmtId="169" formatCode="[$-1C09]dd\ mmmm\ yyyy;@"/>
    <numFmt numFmtId="170" formatCode="&quot;R&quot;\ #,##0.00;[Red]&quot;R&quot;\ #,##0.00"/>
    <numFmt numFmtId="171" formatCode="_ [$R-1C09]\ * #,##0.00_ ;_ [$R-1C09]\ * \-#,##0.00_ ;_ [$R-1C09]\ * &quot;-&quot;??_ ;_ @_ "/>
    <numFmt numFmtId="172" formatCode="0;[Red]0"/>
    <numFmt numFmtId="173" formatCode="0.000_)"/>
    <numFmt numFmtId="174" formatCode="#,##0_%_);\(#,##0\)_%;#,##0_%_);@_%_)"/>
    <numFmt numFmtId="175" formatCode="#,##0.00_%_);\(#,##0.00\)_%;#,##0.00_%_);@_%_)"/>
    <numFmt numFmtId="176" formatCode="#,##0."/>
    <numFmt numFmtId="177" formatCode="&quot;$&quot;#,##0_%_);\(&quot;$&quot;#,##0\)_%;&quot;$&quot;#,##0_%_);@_%_)"/>
    <numFmt numFmtId="178" formatCode="&quot;$&quot;#,##0.00_%_);\(&quot;$&quot;#,##0.00\)_%;&quot;$&quot;#,##0.00_%_);@_%_)"/>
    <numFmt numFmtId="179" formatCode="\$#."/>
    <numFmt numFmtId="180" formatCode="mmm\ dd"/>
    <numFmt numFmtId="181" formatCode="m/d/yy_%_)"/>
    <numFmt numFmtId="182" formatCode="0_%_);\(0\)_%;0_%_);@_%_)"/>
    <numFmt numFmtId="183" formatCode="_-* #,##0.00\ [$€-1]_-;\-* #,##0.00\ [$€-1]_-;_-* &quot;-&quot;??\ [$€-1]_-"/>
    <numFmt numFmtId="184" formatCode="#.00"/>
    <numFmt numFmtId="185" formatCode="0.0\%_);\(0.0\%\);0.0\%_);@_%_)"/>
    <numFmt numFmtId="186" formatCode="_(&quot;L&quot;* #,##0_);_(&quot;L&quot;* \(#,##0\);_(&quot;L&quot;* &quot;-&quot;_);_(@_)"/>
    <numFmt numFmtId="187" formatCode="_-* #,##0\ _D_M_-;\-* #,##0\ _D_M_-;_-* &quot;-&quot;\ _D_M_-;_-@_-"/>
    <numFmt numFmtId="188" formatCode="_-* #,##0.00\ _D_M_-;\-* #,##0.00\ _D_M_-;_-* &quot;-&quot;??\ _D_M_-;_-@_-"/>
    <numFmt numFmtId="189" formatCode="_-* #,##0.00\ _P_t_s_-;\-* #,##0.00\ _P_t_s_-;_-* &quot;-&quot;??\ _P_t_s_-;_-@_-"/>
    <numFmt numFmtId="190" formatCode="_-* #,##0\ _P_t_a_-;\-* #,##0\ _P_t_a_-;_-* &quot;-&quot;\ _P_t_a_-;_-@_-"/>
    <numFmt numFmtId="191" formatCode="_-* #,##0.00\ _P_t_a_-;\-* #,##0.00\ _P_t_a_-;_-* &quot;-&quot;??\ _P_t_a_-;_-@_-"/>
    <numFmt numFmtId="192" formatCode="_-* #,##0_ _F_-;\-* #,##0_ _F_-;_-* &quot;-&quot;_ _F_-;_-@_-"/>
    <numFmt numFmtId="193" formatCode="_-* #,##0.00_ _F_-;\-* #,##0.00_ _F_-;_-* &quot;-&quot;??_ _F_-;_-@_-"/>
    <numFmt numFmtId="194" formatCode="#,##0.00,,"/>
    <numFmt numFmtId="195" formatCode="#,##0.00,,\$"/>
    <numFmt numFmtId="196" formatCode="_-* #,##0\ &quot;pta&quot;_-;\-* #,##0\ &quot;pta&quot;_-;_-* &quot;-&quot;\ &quot;pta&quot;_-;_-@_-"/>
    <numFmt numFmtId="197" formatCode="_-* #,##0.00\ &quot;pta&quot;_-;\-* #,##0.00\ &quot;pta&quot;_-;_-* &quot;-&quot;??\ &quot;pta&quot;_-;_-@_-"/>
    <numFmt numFmtId="198" formatCode="_-* #,##0&quot; F&quot;_-;\-* #,##0&quot; F&quot;_-;_-* &quot;-&quot;&quot; F&quot;_-;_-@_-"/>
    <numFmt numFmtId="199" formatCode="_-* #,##0.00&quot; F&quot;_-;\-* #,##0.00&quot; F&quot;_-;_-* &quot;-&quot;??&quot; F&quot;_-;_-@_-"/>
    <numFmt numFmtId="200" formatCode="0.0\x_)_);&quot;NM&quot;_x_)_);0.0\x_)_);@_%_)"/>
    <numFmt numFmtId="201" formatCode="0.00_)"/>
    <numFmt numFmtId="202" formatCode="&quot;$&quot;#,##0.0"/>
    <numFmt numFmtId="203" formatCode="&quot;$&quot;#,##0\ \k"/>
    <numFmt numFmtId="204" formatCode="mm/dd/yy"/>
    <numFmt numFmtId="205" formatCode="[Red][&gt;1]&quot;&gt;100%&quot;;[&gt;=0]0%;General"/>
    <numFmt numFmtId="206" formatCode="_-&quot;L.&quot;\ * #,##0_-;\-&quot;L.&quot;\ * #,##0_-;_-&quot;L.&quot;\ * &quot;-&quot;_-;_-@_-"/>
    <numFmt numFmtId="207" formatCode="_-* #,##0\ &quot;DM&quot;_-;\-* #,##0\ &quot;DM&quot;_-;_-* &quot;-&quot;\ &quot;DM&quot;_-;_-@_-"/>
    <numFmt numFmtId="208" formatCode="_-* #,##0.00\ &quot;Pts&quot;_-;\-* #,##0.00\ &quot;Pts&quot;_-;_-* &quot;-&quot;??\ &quot;Pts&quot;_-;_-@_-"/>
    <numFmt numFmtId="209" formatCode="_-* #,##0.00\ &quot;DM&quot;_-;\-* #,##0.00\ &quot;DM&quot;_-;_-* &quot;-&quot;??\ &quot;DM&quot;_-;_-@_-"/>
    <numFmt numFmtId="210" formatCode="0.0"/>
    <numFmt numFmtId="211" formatCode="_ * #,##0_ ;_ * \-#,##0_ ;_ * &quot;-&quot;??_ ;_ @_ "/>
    <numFmt numFmtId="212" formatCode="&quot;R&quot;\ #,##0.00"/>
    <numFmt numFmtId="213" formatCode="#,##0.000"/>
    <numFmt numFmtId="214" formatCode="0.000"/>
    <numFmt numFmtId="215" formatCode="0.000;[Red]0.000"/>
    <numFmt numFmtId="216" formatCode="[$R-1C09]\ #,##0.00"/>
    <numFmt numFmtId="217" formatCode="_ [$R-1C09]\ * #,##0.000_ ;_ [$R-1C09]\ * \-#,##0.000_ ;_ [$R-1C09]\ * &quot;-&quot;???_ ;_ @_ "/>
    <numFmt numFmtId="218" formatCode="#,##0.0000"/>
    <numFmt numFmtId="219" formatCode="[$-409]d\-mmm\-yy;@"/>
    <numFmt numFmtId="220" formatCode="0.00;[Red]0.00"/>
    <numFmt numFmtId="221" formatCode="yyyy\-mm\-dd;@"/>
  </numFmts>
  <fonts count="14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Arial"/>
      <family val="2"/>
    </font>
    <font>
      <b/>
      <sz val="10"/>
      <color rgb="FF000000"/>
      <name val="Arial Narrow"/>
      <family val="2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Arial Narrow"/>
      <family val="2"/>
    </font>
    <font>
      <b/>
      <sz val="14"/>
      <name val="Arial Narrow"/>
      <family val="2"/>
    </font>
    <font>
      <sz val="12"/>
      <name val="Arial Narrow"/>
      <family val="2"/>
    </font>
    <font>
      <sz val="14"/>
      <name val="Arial Narrow"/>
      <family val="2"/>
    </font>
    <font>
      <sz val="12"/>
      <name val="Times New Roman"/>
      <family val="1"/>
    </font>
    <font>
      <b/>
      <sz val="14"/>
      <name val="Times New Roman"/>
      <family val="1"/>
    </font>
    <font>
      <sz val="10"/>
      <color indexed="12"/>
      <name val="Arial"/>
      <family val="2"/>
    </font>
    <font>
      <sz val="12"/>
      <name val="Tms Rmn"/>
    </font>
    <font>
      <sz val="8"/>
      <name val="Helv"/>
    </font>
    <font>
      <sz val="10"/>
      <name val="Geneva"/>
    </font>
    <font>
      <sz val="12"/>
      <name val="Tms Rmn"/>
      <family val="1"/>
    </font>
    <font>
      <sz val="8"/>
      <name val="Arial"/>
      <family val="2"/>
    </font>
    <font>
      <sz val="11"/>
      <name val="Tms Rmn"/>
    </font>
    <font>
      <sz val="8"/>
      <name val="Palatino"/>
      <family val="1"/>
    </font>
    <font>
      <sz val="1"/>
      <color indexed="8"/>
      <name val="Courier"/>
      <family val="3"/>
    </font>
    <font>
      <sz val="10"/>
      <name val="MS Serif"/>
      <family val="1"/>
    </font>
    <font>
      <sz val="14"/>
      <name val="Palatino"/>
      <family val="1"/>
    </font>
    <font>
      <sz val="16"/>
      <name val="Palatino"/>
      <family val="1"/>
    </font>
    <font>
      <sz val="32"/>
      <name val="Helvetica-Black"/>
    </font>
    <font>
      <sz val="10"/>
      <color indexed="16"/>
      <name val="MS Serif"/>
      <family val="1"/>
    </font>
    <font>
      <sz val="6"/>
      <color indexed="23"/>
      <name val="Helvetica-Black"/>
    </font>
    <font>
      <sz val="9.5"/>
      <color indexed="23"/>
      <name val="Helvetica-Black"/>
    </font>
    <font>
      <sz val="7"/>
      <name val="Palatino"/>
      <family val="1"/>
    </font>
    <font>
      <sz val="6"/>
      <color indexed="16"/>
      <name val="Palatino"/>
      <family val="1"/>
    </font>
    <font>
      <sz val="6"/>
      <name val="Palatino"/>
      <family val="1"/>
    </font>
    <font>
      <sz val="10"/>
      <name val="Helvetica-Black"/>
    </font>
    <font>
      <sz val="28"/>
      <name val="Helvetica-Black"/>
    </font>
    <font>
      <sz val="10"/>
      <name val="Palatino"/>
      <family val="1"/>
    </font>
    <font>
      <sz val="18"/>
      <name val="Palatino"/>
      <family val="1"/>
    </font>
    <font>
      <i/>
      <sz val="14"/>
      <name val="Palatino"/>
      <family val="1"/>
    </font>
    <font>
      <b/>
      <sz val="16"/>
      <color indexed="9"/>
      <name val="Times New Roman"/>
      <family val="1"/>
    </font>
    <font>
      <sz val="12"/>
      <color indexed="10"/>
      <name val="Bookman Old Style"/>
      <family val="1"/>
    </font>
    <font>
      <i/>
      <sz val="12"/>
      <color indexed="10"/>
      <name val="Bookman Old Style"/>
      <family val="1"/>
    </font>
    <font>
      <sz val="10"/>
      <color indexed="16"/>
      <name val="Times New Roman"/>
      <family val="1"/>
    </font>
    <font>
      <sz val="8"/>
      <name val="Times New Roman"/>
      <family val="1"/>
    </font>
    <font>
      <sz val="12"/>
      <color indexed="8"/>
      <name val="Geneva"/>
    </font>
    <font>
      <sz val="7"/>
      <name val="Small Fonts"/>
      <family val="2"/>
    </font>
    <font>
      <b/>
      <i/>
      <sz val="16"/>
      <name val="Helv"/>
    </font>
    <font>
      <sz val="10"/>
      <color indexed="16"/>
      <name val="Helvetica-Black"/>
    </font>
    <font>
      <sz val="10"/>
      <name val="MS Sans Serif"/>
      <family val="2"/>
    </font>
    <font>
      <b/>
      <u/>
      <sz val="12"/>
      <color indexed="8"/>
      <name val="Arial"/>
      <family val="2"/>
    </font>
    <font>
      <sz val="12"/>
      <name val="Helv"/>
      <family val="2"/>
    </font>
    <font>
      <sz val="8"/>
      <name val="Helv"/>
      <family val="2"/>
    </font>
    <font>
      <i/>
      <sz val="12"/>
      <color indexed="10"/>
      <name val="Times New Roman"/>
      <family val="1"/>
    </font>
    <font>
      <sz val="10"/>
      <name val="Helv"/>
      <charset val="204"/>
    </font>
    <font>
      <b/>
      <sz val="8"/>
      <color indexed="8"/>
      <name val="Helv"/>
      <family val="2"/>
    </font>
    <font>
      <sz val="8.5"/>
      <name val="Arial Narrow"/>
      <family val="2"/>
    </font>
    <font>
      <b/>
      <sz val="9"/>
      <name val="Palatino"/>
      <family val="1"/>
    </font>
    <font>
      <sz val="9"/>
      <color indexed="21"/>
      <name val="Helvetica-Black"/>
    </font>
    <font>
      <b/>
      <sz val="10"/>
      <name val="Palatino"/>
      <family val="1"/>
    </font>
    <font>
      <sz val="9"/>
      <name val="Helvetica-Black"/>
    </font>
    <font>
      <sz val="12"/>
      <name val="Palatino"/>
      <family val="1"/>
    </font>
    <font>
      <sz val="11"/>
      <name val="Helvetica-Black"/>
    </font>
    <font>
      <sz val="8"/>
      <color indexed="10"/>
      <name val="Arial Narrow"/>
      <family val="2"/>
    </font>
    <font>
      <sz val="12"/>
      <name val="Arial Unicode MS"/>
      <family val="2"/>
      <charset val="134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color rgb="FFFF0000"/>
      <name val="Arial Narrow"/>
      <family val="2"/>
    </font>
    <font>
      <sz val="9"/>
      <color rgb="FF000000"/>
      <name val="Calibri"/>
      <family val="2"/>
    </font>
    <font>
      <sz val="11"/>
      <color rgb="FF000000"/>
      <name val="Arial Narrow"/>
      <family val="2"/>
    </font>
    <font>
      <sz val="10"/>
      <color rgb="FF000000"/>
      <name val="Calibri"/>
      <family val="2"/>
    </font>
    <font>
      <sz val="8"/>
      <color rgb="FF000000"/>
      <name val="Calibri"/>
      <family val="2"/>
    </font>
    <font>
      <b/>
      <sz val="9"/>
      <color rgb="FF000000"/>
      <name val="Calibri"/>
      <family val="2"/>
    </font>
    <font>
      <sz val="9"/>
      <name val="Calibri"/>
      <family val="2"/>
    </font>
    <font>
      <b/>
      <sz val="9"/>
      <color rgb="FF000000"/>
      <name val="Tahoma"/>
      <family val="2"/>
    </font>
    <font>
      <b/>
      <sz val="12"/>
      <color rgb="FF000000"/>
      <name val="Arial Narrow"/>
      <family val="2"/>
    </font>
    <font>
      <b/>
      <u val="double"/>
      <sz val="12"/>
      <name val="Arial Narrow"/>
      <family val="2"/>
    </font>
    <font>
      <sz val="14"/>
      <color rgb="FF000000"/>
      <name val="Arial Narrow"/>
      <family val="2"/>
    </font>
    <font>
      <b/>
      <sz val="14"/>
      <color rgb="FF000000"/>
      <name val="Arial Narrow"/>
      <family val="2"/>
    </font>
    <font>
      <sz val="14"/>
      <color rgb="FFFF0000"/>
      <name val="Arial Narrow"/>
      <family val="2"/>
    </font>
    <font>
      <b/>
      <sz val="14"/>
      <color rgb="FF000000"/>
      <name val="Calibri"/>
      <family val="2"/>
    </font>
    <font>
      <b/>
      <sz val="10"/>
      <color rgb="FFFF0000"/>
      <name val="Calibri"/>
      <family val="2"/>
    </font>
    <font>
      <sz val="11"/>
      <name val="Arial Narrow"/>
      <family val="2"/>
    </font>
    <font>
      <sz val="12"/>
      <color rgb="FFFF0000"/>
      <name val="Arial Narrow"/>
      <family val="2"/>
    </font>
    <font>
      <sz val="7.65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sz val="12"/>
      <color rgb="FF000000"/>
      <name val="Arial Narrow"/>
      <family val="2"/>
    </font>
    <font>
      <b/>
      <sz val="16"/>
      <color rgb="FF000000"/>
      <name val="Arial Narrow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i/>
      <sz val="11"/>
      <color rgb="FFFF0000"/>
      <name val="Calibri"/>
      <family val="2"/>
    </font>
    <font>
      <b/>
      <sz val="22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FF0000"/>
      <name val="Calibri"/>
      <family val="2"/>
    </font>
    <font>
      <b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0000"/>
      <name val="Arial Narrow"/>
      <family val="2"/>
    </font>
    <font>
      <b/>
      <sz val="11"/>
      <color theme="0"/>
      <name val="Calibri"/>
      <family val="2"/>
      <scheme val="minor"/>
    </font>
    <font>
      <b/>
      <sz val="12"/>
      <color rgb="FFFF0000"/>
      <name val="Arial Narrow"/>
      <family val="2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theme="0"/>
      <name val="Calibri"/>
      <family val="2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FF0000"/>
      <name val="Arial Narrow"/>
      <family val="2"/>
    </font>
    <font>
      <b/>
      <sz val="16"/>
      <color rgb="FFFF0000"/>
      <name val="Arial Narrow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9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9"/>
      <color rgb="FF000000"/>
      <name val="Arial Narrow"/>
      <family val="2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rgb="FF000000"/>
      <name val="Arial Narrow"/>
      <family val="2"/>
    </font>
    <font>
      <b/>
      <sz val="11"/>
      <color rgb="FFFFFFFF"/>
      <name val="Calibri"/>
      <family val="2"/>
    </font>
    <font>
      <sz val="10"/>
      <color theme="1"/>
      <name val="Times New Roman"/>
      <family val="1"/>
    </font>
    <font>
      <sz val="11"/>
      <color rgb="FFFFFFFF"/>
      <name val="Calibri"/>
      <family val="2"/>
      <scheme val="minor"/>
    </font>
    <font>
      <sz val="9"/>
      <color rgb="FFFF0000"/>
      <name val="Arial Narrow"/>
      <family val="2"/>
    </font>
    <font>
      <sz val="9"/>
      <name val="Arial Narrow"/>
      <family val="2"/>
    </font>
  </fonts>
  <fills count="7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6CEF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6" tint="0.39997558519241921"/>
        <bgColor indexed="64"/>
      </patternFill>
    </fill>
  </fills>
  <borders count="19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51">
    <xf numFmtId="0" fontId="0" fillId="0" borderId="0"/>
    <xf numFmtId="0" fontId="2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1" applyNumberFormat="0" applyAlignment="0" applyProtection="0"/>
    <xf numFmtId="0" fontId="8" fillId="21" borderId="2" applyNumberFormat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1" fillId="0" borderId="0"/>
    <xf numFmtId="49" fontId="4" fillId="0" borderId="0"/>
    <xf numFmtId="49" fontId="4" fillId="0" borderId="0"/>
    <xf numFmtId="0" fontId="4" fillId="23" borderId="7" applyNumberFormat="0" applyFont="0" applyAlignment="0" applyProtection="0"/>
    <xf numFmtId="0" fontId="17" fillId="20" borderId="8" applyNumberFormat="0" applyAlignment="0" applyProtection="0"/>
    <xf numFmtId="9" fontId="4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167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3" fontId="32" fillId="0" borderId="0" applyFont="0" applyFill="0" applyBorder="0" applyAlignment="0" applyProtection="0"/>
    <xf numFmtId="0" fontId="4" fillId="0" borderId="0"/>
    <xf numFmtId="0" fontId="29" fillId="0" borderId="0"/>
    <xf numFmtId="9" fontId="32" fillId="0" borderId="0" applyFont="0" applyFill="0" applyBorder="0" applyAlignment="0" applyProtection="0"/>
    <xf numFmtId="0" fontId="29" fillId="0" borderId="0"/>
    <xf numFmtId="0" fontId="33" fillId="0" borderId="0">
      <alignment vertical="top" wrapText="1"/>
    </xf>
    <xf numFmtId="3" fontId="34" fillId="0" borderId="0"/>
    <xf numFmtId="0" fontId="35" fillId="0" borderId="0" applyNumberFormat="0" applyFill="0" applyBorder="0" applyAlignment="0" applyProtection="0"/>
    <xf numFmtId="0" fontId="36" fillId="0" borderId="0" applyFill="0" applyBorder="0" applyAlignment="0"/>
    <xf numFmtId="173" fontId="37" fillId="0" borderId="0"/>
    <xf numFmtId="173" fontId="37" fillId="0" borderId="0"/>
    <xf numFmtId="173" fontId="37" fillId="0" borderId="0"/>
    <xf numFmtId="173" fontId="37" fillId="0" borderId="0"/>
    <xf numFmtId="173" fontId="37" fillId="0" borderId="0"/>
    <xf numFmtId="173" fontId="37" fillId="0" borderId="0"/>
    <xf numFmtId="173" fontId="37" fillId="0" borderId="0"/>
    <xf numFmtId="173" fontId="37" fillId="0" borderId="0"/>
    <xf numFmtId="174" fontId="38" fillId="0" borderId="0" applyFont="0" applyFill="0" applyBorder="0" applyAlignment="0" applyProtection="0">
      <alignment horizontal="right"/>
    </xf>
    <xf numFmtId="175" fontId="38" fillId="0" borderId="0" applyFont="0" applyFill="0" applyBorder="0" applyAlignment="0" applyProtection="0">
      <alignment horizontal="right"/>
    </xf>
    <xf numFmtId="176" fontId="39" fillId="0" borderId="0">
      <protection locked="0"/>
    </xf>
    <xf numFmtId="0" fontId="40" fillId="0" borderId="0" applyNumberFormat="0" applyAlignment="0">
      <alignment horizontal="left"/>
    </xf>
    <xf numFmtId="0" fontId="41" fillId="0" borderId="0">
      <alignment horizontal="left"/>
    </xf>
    <xf numFmtId="0" fontId="42" fillId="0" borderId="0"/>
    <xf numFmtId="0" fontId="43" fillId="0" borderId="0">
      <alignment horizontal="left"/>
    </xf>
    <xf numFmtId="177" fontId="38" fillId="0" borderId="0" applyFont="0" applyFill="0" applyBorder="0" applyAlignment="0" applyProtection="0">
      <alignment horizontal="right"/>
    </xf>
    <xf numFmtId="178" fontId="38" fillId="0" borderId="0" applyFont="0" applyFill="0" applyBorder="0" applyAlignment="0" applyProtection="0">
      <alignment horizontal="right"/>
    </xf>
    <xf numFmtId="179" fontId="39" fillId="0" borderId="0">
      <protection locked="0"/>
    </xf>
    <xf numFmtId="180" fontId="36" fillId="0" borderId="0"/>
    <xf numFmtId="0" fontId="39" fillId="0" borderId="0">
      <protection locked="0"/>
    </xf>
    <xf numFmtId="181" fontId="38" fillId="0" borderId="0" applyFont="0" applyFill="0" applyBorder="0" applyAlignment="0" applyProtection="0"/>
    <xf numFmtId="0" fontId="39" fillId="0" borderId="0">
      <protection locked="0"/>
    </xf>
    <xf numFmtId="182" fontId="38" fillId="0" borderId="33" applyNumberFormat="0" applyFont="0" applyFill="0" applyAlignment="0" applyProtection="0"/>
    <xf numFmtId="0" fontId="44" fillId="0" borderId="0" applyNumberFormat="0" applyAlignment="0">
      <alignment horizontal="left"/>
    </xf>
    <xf numFmtId="183" fontId="4" fillId="0" borderId="0" applyFont="0" applyFill="0" applyBorder="0" applyAlignment="0" applyProtection="0"/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184" fontId="39" fillId="0" borderId="0">
      <protection locked="0"/>
    </xf>
    <xf numFmtId="0" fontId="45" fillId="0" borderId="0">
      <alignment horizontal="left"/>
    </xf>
    <xf numFmtId="0" fontId="46" fillId="0" borderId="0">
      <alignment horizontal="left"/>
    </xf>
    <xf numFmtId="0" fontId="47" fillId="0" borderId="0" applyFill="0" applyBorder="0" applyProtection="0">
      <alignment horizontal="left"/>
    </xf>
    <xf numFmtId="0" fontId="47" fillId="0" borderId="0" applyNumberFormat="0" applyFill="0" applyBorder="0" applyProtection="0">
      <alignment horizontal="left"/>
    </xf>
    <xf numFmtId="0" fontId="47" fillId="0" borderId="0">
      <alignment horizontal="left"/>
    </xf>
    <xf numFmtId="38" fontId="36" fillId="24" borderId="0" applyNumberFormat="0" applyBorder="0" applyAlignment="0" applyProtection="0"/>
    <xf numFmtId="185" fontId="38" fillId="0" borderId="0" applyFont="0" applyFill="0" applyBorder="0" applyAlignment="0" applyProtection="0">
      <alignment horizontal="right"/>
    </xf>
    <xf numFmtId="0" fontId="48" fillId="0" borderId="0" applyProtection="0">
      <alignment horizontal="right"/>
    </xf>
    <xf numFmtId="0" fontId="49" fillId="0" borderId="0">
      <alignment horizontal="left"/>
    </xf>
    <xf numFmtId="0" fontId="49" fillId="0" borderId="0">
      <alignment horizontal="left"/>
    </xf>
    <xf numFmtId="0" fontId="21" fillId="0" borderId="21" applyNumberFormat="0" applyAlignment="0" applyProtection="0">
      <alignment horizontal="left" vertical="center"/>
    </xf>
    <xf numFmtId="0" fontId="21" fillId="0" borderId="28">
      <alignment horizontal="left" vertical="center"/>
    </xf>
    <xf numFmtId="0" fontId="50" fillId="0" borderId="0">
      <alignment horizontal="left"/>
    </xf>
    <xf numFmtId="0" fontId="51" fillId="0" borderId="32">
      <alignment horizontal="left" vertical="top"/>
    </xf>
    <xf numFmtId="0" fontId="52" fillId="0" borderId="0">
      <alignment horizontal="left"/>
    </xf>
    <xf numFmtId="0" fontId="53" fillId="0" borderId="32">
      <alignment horizontal="left" vertical="top"/>
    </xf>
    <xf numFmtId="0" fontId="54" fillId="0" borderId="0">
      <alignment horizontal="left"/>
    </xf>
    <xf numFmtId="0" fontId="55" fillId="25" borderId="0"/>
    <xf numFmtId="0" fontId="30" fillId="0" borderId="0"/>
    <xf numFmtId="4" fontId="52" fillId="20" borderId="0">
      <alignment horizontal="right"/>
      <protection locked="0"/>
    </xf>
    <xf numFmtId="10" fontId="36" fillId="26" borderId="10" applyNumberFormat="0" applyBorder="0" applyAlignment="0" applyProtection="0"/>
    <xf numFmtId="0" fontId="56" fillId="0" borderId="34"/>
    <xf numFmtId="9" fontId="57" fillId="0" borderId="34" applyFill="0" applyAlignment="0" applyProtection="0"/>
    <xf numFmtId="0" fontId="58" fillId="0" borderId="34"/>
    <xf numFmtId="0" fontId="4" fillId="0" borderId="0"/>
    <xf numFmtId="0" fontId="4" fillId="0" borderId="0"/>
    <xf numFmtId="186" fontId="31" fillId="27" borderId="0" applyFont="0" applyFill="0" applyBorder="0" applyAlignment="0" applyProtection="0"/>
    <xf numFmtId="187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1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2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4" fontId="60" fillId="0" borderId="0"/>
    <xf numFmtId="195" fontId="60" fillId="0" borderId="0"/>
    <xf numFmtId="196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8" fontId="29" fillId="0" borderId="0" applyFont="0" applyFill="0" applyBorder="0" applyAlignment="0" applyProtection="0"/>
    <xf numFmtId="199" fontId="29" fillId="0" borderId="0" applyFont="0" applyFill="0" applyBorder="0" applyAlignment="0" applyProtection="0"/>
    <xf numFmtId="200" fontId="38" fillId="0" borderId="0" applyFont="0" applyFill="0" applyBorder="0" applyAlignment="0" applyProtection="0">
      <alignment horizontal="right"/>
    </xf>
    <xf numFmtId="37" fontId="61" fillId="0" borderId="0"/>
    <xf numFmtId="201" fontId="62" fillId="0" borderId="0"/>
    <xf numFmtId="0" fontId="4" fillId="0" borderId="0"/>
    <xf numFmtId="1" fontId="63" fillId="0" borderId="0" applyProtection="0">
      <alignment horizontal="right" vertical="center"/>
    </xf>
    <xf numFmtId="10" fontId="4" fillId="0" borderId="0" applyFont="0" applyFill="0" applyBorder="0" applyAlignment="0" applyProtection="0"/>
    <xf numFmtId="38" fontId="64" fillId="0" borderId="0" applyFont="0" applyFill="0" applyProtection="0"/>
    <xf numFmtId="17" fontId="65" fillId="0" borderId="0" applyNumberFormat="0" applyFont="0" applyFill="0" applyBorder="0" applyAlignment="0" applyProtection="0">
      <alignment horizontal="left"/>
    </xf>
    <xf numFmtId="9" fontId="4" fillId="0" borderId="0" applyFont="0" applyFill="0" applyBorder="0" applyAlignment="0" applyProtection="0"/>
    <xf numFmtId="202" fontId="66" fillId="0" borderId="10" applyFont="0" applyFill="0" applyBorder="0" applyAlignment="0"/>
    <xf numFmtId="203" fontId="66" fillId="0" borderId="10" applyFont="0" applyFill="0" applyBorder="0" applyAlignment="0"/>
    <xf numFmtId="204" fontId="67" fillId="0" borderId="0" applyNumberFormat="0" applyFill="0" applyBorder="0" applyAlignment="0" applyProtection="0">
      <alignment horizontal="left"/>
    </xf>
    <xf numFmtId="0" fontId="68" fillId="0" borderId="27"/>
    <xf numFmtId="205" fontId="66" fillId="0" borderId="10" applyFont="0" applyFill="0" applyBorder="0" applyAlignment="0" applyProtection="0"/>
    <xf numFmtId="0" fontId="59" fillId="0" borderId="0"/>
    <xf numFmtId="0" fontId="4" fillId="0" borderId="0"/>
    <xf numFmtId="0" fontId="69" fillId="0" borderId="0"/>
    <xf numFmtId="40" fontId="70" fillId="0" borderId="0" applyBorder="0">
      <alignment horizontal="right"/>
    </xf>
    <xf numFmtId="0" fontId="71" fillId="0" borderId="13" applyNumberFormat="0" applyFont="0"/>
    <xf numFmtId="0" fontId="72" fillId="0" borderId="0" applyBorder="0" applyProtection="0">
      <alignment vertical="center"/>
    </xf>
    <xf numFmtId="182" fontId="72" fillId="0" borderId="27" applyBorder="0" applyProtection="0">
      <alignment horizontal="right" vertical="center"/>
    </xf>
    <xf numFmtId="0" fontId="73" fillId="28" borderId="0" applyBorder="0" applyProtection="0">
      <alignment horizontal="centerContinuous" vertical="center"/>
    </xf>
    <xf numFmtId="0" fontId="73" fillId="25" borderId="27" applyBorder="0" applyProtection="0">
      <alignment horizontal="centerContinuous" vertical="center"/>
    </xf>
    <xf numFmtId="0" fontId="74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/>
    </xf>
    <xf numFmtId="0" fontId="52" fillId="0" borderId="0" applyNumberFormat="0" applyFill="0" applyBorder="0" applyProtection="0"/>
    <xf numFmtId="0" fontId="75" fillId="0" borderId="0" applyFill="0" applyBorder="0" applyProtection="0">
      <alignment horizontal="left"/>
    </xf>
    <xf numFmtId="0" fontId="47" fillId="0" borderId="32" applyFill="0" applyBorder="0" applyProtection="0">
      <alignment horizontal="left" vertical="top"/>
    </xf>
    <xf numFmtId="0" fontId="76" fillId="0" borderId="0" applyNumberFormat="0" applyFill="0" applyBorder="0" applyProtection="0"/>
    <xf numFmtId="0" fontId="76" fillId="0" borderId="0" applyNumberFormat="0" applyFill="0" applyBorder="0" applyProtection="0"/>
    <xf numFmtId="0" fontId="77" fillId="0" borderId="0" applyNumberFormat="0" applyFill="0" applyBorder="0" applyProtection="0"/>
    <xf numFmtId="0" fontId="77" fillId="0" borderId="0" applyNumberFormat="0" applyFill="0" applyBorder="0" applyProtection="0"/>
    <xf numFmtId="0" fontId="76" fillId="0" borderId="0" applyNumberFormat="0" applyFill="0" applyBorder="0" applyProtection="0"/>
    <xf numFmtId="0" fontId="76" fillId="0" borderId="0"/>
    <xf numFmtId="0" fontId="77" fillId="0" borderId="0"/>
    <xf numFmtId="0" fontId="76" fillId="0" borderId="0"/>
    <xf numFmtId="0" fontId="78" fillId="0" borderId="0">
      <alignment vertical="top"/>
    </xf>
    <xf numFmtId="206" fontId="4" fillId="0" borderId="0" applyFont="0" applyFill="0" applyBorder="0" applyAlignment="0" applyProtection="0"/>
    <xf numFmtId="207" fontId="59" fillId="0" borderId="0" applyFont="0" applyFill="0" applyBorder="0" applyAlignment="0" applyProtection="0"/>
    <xf numFmtId="208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207" fontId="4" fillId="0" borderId="0" applyFont="0" applyFill="0" applyBorder="0" applyAlignment="0" applyProtection="0"/>
    <xf numFmtId="209" fontId="4" fillId="0" borderId="0" applyFont="0" applyFill="0" applyBorder="0" applyAlignment="0" applyProtection="0"/>
    <xf numFmtId="0" fontId="4" fillId="0" borderId="0"/>
    <xf numFmtId="0" fontId="79" fillId="0" borderId="0">
      <alignment vertical="center"/>
    </xf>
    <xf numFmtId="0" fontId="80" fillId="0" borderId="0"/>
    <xf numFmtId="0" fontId="81" fillId="0" borderId="0" applyNumberFormat="0" applyFill="0" applyBorder="0" applyAlignment="0" applyProtection="0">
      <alignment vertical="top"/>
      <protection locked="0"/>
    </xf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2" fillId="0" borderId="0"/>
    <xf numFmtId="167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0" fontId="13" fillId="0" borderId="36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9" fontId="2" fillId="0" borderId="0"/>
    <xf numFmtId="49" fontId="2" fillId="0" borderId="0"/>
    <xf numFmtId="0" fontId="2" fillId="0" borderId="0"/>
    <xf numFmtId="0" fontId="2" fillId="23" borderId="7" applyNumberFormat="0" applyFont="0" applyAlignment="0" applyProtection="0"/>
    <xf numFmtId="1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1" fillId="0" borderId="55">
      <alignment horizontal="left" vertical="center"/>
    </xf>
    <xf numFmtId="10" fontId="36" fillId="26" borderId="49" applyNumberFormat="0" applyBorder="0" applyAlignment="0" applyProtection="0"/>
    <xf numFmtId="202" fontId="66" fillId="0" borderId="49" applyFont="0" applyFill="0" applyBorder="0" applyAlignment="0"/>
    <xf numFmtId="203" fontId="66" fillId="0" borderId="49" applyFont="0" applyFill="0" applyBorder="0" applyAlignment="0"/>
    <xf numFmtId="205" fontId="66" fillId="0" borderId="49" applyFont="0" applyFill="0" applyBorder="0" applyAlignment="0" applyProtection="0"/>
    <xf numFmtId="0" fontId="2" fillId="0" borderId="0" applyNumberFormat="0" applyFill="0" applyBorder="0" applyAlignment="0" applyProtection="0"/>
  </cellStyleXfs>
  <cellXfs count="1219">
    <xf numFmtId="0" fontId="0" fillId="0" borderId="0" xfId="0"/>
    <xf numFmtId="0" fontId="22" fillId="0" borderId="0" xfId="0" applyFont="1" applyAlignment="1" applyProtection="1">
      <alignment horizontal="right" vertical="center" wrapText="1"/>
      <protection locked="0"/>
    </xf>
    <xf numFmtId="0" fontId="23" fillId="0" borderId="0" xfId="0" applyFont="1" applyProtection="1">
      <protection locked="0"/>
    </xf>
    <xf numFmtId="0" fontId="85" fillId="0" borderId="25" xfId="0" applyFont="1" applyBorder="1" applyAlignment="1">
      <alignment vertical="top" wrapText="1"/>
    </xf>
    <xf numFmtId="0" fontId="23" fillId="0" borderId="0" xfId="0" applyFont="1" applyAlignment="1" applyProtection="1">
      <alignment vertical="center"/>
      <protection locked="0"/>
    </xf>
    <xf numFmtId="0" fontId="86" fillId="0" borderId="0" xfId="0" applyFont="1"/>
    <xf numFmtId="0" fontId="86" fillId="0" borderId="0" xfId="0" applyFont="1" applyAlignment="1">
      <alignment wrapText="1"/>
    </xf>
    <xf numFmtId="4" fontId="86" fillId="0" borderId="0" xfId="0" applyNumberFormat="1" applyFont="1"/>
    <xf numFmtId="171" fontId="25" fillId="0" borderId="0" xfId="0" applyNumberFormat="1" applyFont="1" applyProtection="1">
      <protection locked="0"/>
    </xf>
    <xf numFmtId="9" fontId="23" fillId="0" borderId="0" xfId="225" applyFont="1" applyFill="1" applyBorder="1" applyAlignment="1" applyProtection="1">
      <alignment vertical="center"/>
      <protection locked="0"/>
    </xf>
    <xf numFmtId="0" fontId="92" fillId="0" borderId="0" xfId="0" applyFont="1" applyProtection="1">
      <protection locked="0"/>
    </xf>
    <xf numFmtId="0" fontId="93" fillId="0" borderId="0" xfId="0" applyFont="1" applyProtection="1">
      <protection locked="0"/>
    </xf>
    <xf numFmtId="170" fontId="93" fillId="0" borderId="0" xfId="0" applyNumberFormat="1" applyFont="1" applyProtection="1">
      <protection locked="0"/>
    </xf>
    <xf numFmtId="171" fontId="92" fillId="0" borderId="0" xfId="0" applyNumberFormat="1" applyFont="1" applyProtection="1">
      <protection locked="0"/>
    </xf>
    <xf numFmtId="9" fontId="28" fillId="0" borderId="0" xfId="225" applyFont="1" applyFill="1" applyBorder="1" applyAlignment="1" applyProtection="1">
      <alignment vertical="center"/>
      <protection locked="0"/>
    </xf>
    <xf numFmtId="9" fontId="94" fillId="0" borderId="0" xfId="225" applyFont="1" applyFill="1" applyBorder="1" applyAlignment="1" applyProtection="1">
      <alignment vertical="center"/>
      <protection locked="0"/>
    </xf>
    <xf numFmtId="167" fontId="93" fillId="0" borderId="0" xfId="86" applyFont="1" applyFill="1" applyBorder="1" applyProtection="1">
      <protection locked="0"/>
    </xf>
    <xf numFmtId="167" fontId="95" fillId="0" borderId="0" xfId="86" applyFont="1" applyFill="1" applyBorder="1"/>
    <xf numFmtId="167" fontId="95" fillId="0" borderId="0" xfId="86" applyFont="1" applyFill="1" applyBorder="1" applyAlignment="1">
      <alignment wrapText="1"/>
    </xf>
    <xf numFmtId="167" fontId="95" fillId="0" borderId="0" xfId="86" applyFont="1" applyFill="1" applyBorder="1" applyAlignment="1"/>
    <xf numFmtId="0" fontId="84" fillId="0" borderId="0" xfId="0" applyFont="1" applyProtection="1">
      <protection locked="0"/>
    </xf>
    <xf numFmtId="210" fontId="84" fillId="0" borderId="0" xfId="0" applyNumberFormat="1" applyFont="1" applyProtection="1">
      <protection locked="0"/>
    </xf>
    <xf numFmtId="210" fontId="93" fillId="0" borderId="0" xfId="0" applyNumberFormat="1" applyFont="1" applyProtection="1">
      <protection locked="0"/>
    </xf>
    <xf numFmtId="0" fontId="100" fillId="0" borderId="0" xfId="0" applyFont="1"/>
    <xf numFmtId="0" fontId="101" fillId="0" borderId="0" xfId="0" applyFont="1"/>
    <xf numFmtId="0" fontId="102" fillId="0" borderId="0" xfId="0" applyFont="1" applyAlignment="1" applyProtection="1">
      <alignment horizontal="right"/>
      <protection locked="0"/>
    </xf>
    <xf numFmtId="0" fontId="98" fillId="0" borderId="0" xfId="0" applyFont="1" applyProtection="1">
      <protection locked="0"/>
    </xf>
    <xf numFmtId="0" fontId="102" fillId="0" borderId="0" xfId="0" applyFont="1" applyProtection="1">
      <protection locked="0"/>
    </xf>
    <xf numFmtId="210" fontId="102" fillId="0" borderId="0" xfId="0" applyNumberFormat="1" applyFont="1" applyProtection="1">
      <protection locked="0"/>
    </xf>
    <xf numFmtId="0" fontId="24" fillId="31" borderId="31" xfId="234" applyFont="1" applyFill="1" applyBorder="1" applyAlignment="1" applyProtection="1">
      <alignment vertical="center"/>
      <protection locked="0"/>
    </xf>
    <xf numFmtId="0" fontId="80" fillId="35" borderId="0" xfId="0" applyFont="1" applyFill="1"/>
    <xf numFmtId="0" fontId="80" fillId="35" borderId="0" xfId="0" applyFont="1" applyFill="1" applyAlignment="1">
      <alignment horizontal="center"/>
    </xf>
    <xf numFmtId="211" fontId="80" fillId="35" borderId="0" xfId="244" applyNumberFormat="1" applyFont="1" applyFill="1" applyBorder="1" applyAlignment="1">
      <alignment horizontal="center"/>
    </xf>
    <xf numFmtId="0" fontId="105" fillId="33" borderId="0" xfId="0" applyFont="1" applyFill="1" applyAlignment="1">
      <alignment horizontal="center"/>
    </xf>
    <xf numFmtId="0" fontId="104" fillId="35" borderId="0" xfId="0" applyFont="1" applyFill="1" applyAlignment="1">
      <alignment horizontal="center"/>
    </xf>
    <xf numFmtId="0" fontId="104" fillId="37" borderId="0" xfId="0" applyFont="1" applyFill="1" applyAlignment="1">
      <alignment horizontal="center"/>
    </xf>
    <xf numFmtId="211" fontId="104" fillId="37" borderId="0" xfId="244" applyNumberFormat="1" applyFont="1" applyFill="1" applyBorder="1" applyAlignment="1">
      <alignment horizontal="center"/>
    </xf>
    <xf numFmtId="0" fontId="80" fillId="30" borderId="0" xfId="0" applyFont="1" applyFill="1"/>
    <xf numFmtId="0" fontId="80" fillId="32" borderId="0" xfId="0" applyFont="1" applyFill="1"/>
    <xf numFmtId="0" fontId="80" fillId="32" borderId="0" xfId="0" applyFont="1" applyFill="1" applyAlignment="1">
      <alignment horizontal="center"/>
    </xf>
    <xf numFmtId="211" fontId="80" fillId="32" borderId="0" xfId="244" applyNumberFormat="1" applyFont="1" applyFill="1" applyBorder="1" applyAlignment="1">
      <alignment horizontal="center"/>
    </xf>
    <xf numFmtId="211" fontId="80" fillId="30" borderId="0" xfId="244" applyNumberFormat="1" applyFont="1" applyFill="1" applyBorder="1" applyAlignment="1">
      <alignment horizontal="center"/>
    </xf>
    <xf numFmtId="0" fontId="80" fillId="39" borderId="0" xfId="0" applyFont="1" applyFill="1"/>
    <xf numFmtId="0" fontId="104" fillId="39" borderId="0" xfId="0" applyFont="1" applyFill="1" applyAlignment="1">
      <alignment horizontal="center"/>
    </xf>
    <xf numFmtId="0" fontId="106" fillId="39" borderId="0" xfId="0" applyFont="1" applyFill="1"/>
    <xf numFmtId="0" fontId="104" fillId="30" borderId="0" xfId="0" applyFont="1" applyFill="1" applyAlignment="1">
      <alignment horizontal="center"/>
    </xf>
    <xf numFmtId="1" fontId="80" fillId="39" borderId="0" xfId="0" applyNumberFormat="1" applyFont="1" applyFill="1"/>
    <xf numFmtId="1" fontId="105" fillId="39" borderId="0" xfId="0" applyNumberFormat="1" applyFont="1" applyFill="1"/>
    <xf numFmtId="0" fontId="106" fillId="30" borderId="0" xfId="0" applyFont="1" applyFill="1"/>
    <xf numFmtId="0" fontId="80" fillId="30" borderId="0" xfId="0" applyFont="1" applyFill="1" applyAlignment="1">
      <alignment horizontal="center"/>
    </xf>
    <xf numFmtId="0" fontId="95" fillId="0" borderId="0" xfId="86" applyNumberFormat="1" applyFont="1" applyFill="1" applyBorder="1"/>
    <xf numFmtId="212" fontId="95" fillId="0" borderId="35" xfId="86" applyNumberFormat="1" applyFont="1" applyFill="1" applyBorder="1"/>
    <xf numFmtId="212" fontId="86" fillId="0" borderId="0" xfId="0" applyNumberFormat="1" applyFont="1"/>
    <xf numFmtId="0" fontId="104" fillId="0" borderId="26" xfId="0" applyFont="1" applyBorder="1" applyAlignment="1">
      <alignment horizontal="center" vertical="top" wrapText="1"/>
    </xf>
    <xf numFmtId="1" fontId="104" fillId="43" borderId="37" xfId="0" applyNumberFormat="1" applyFont="1" applyFill="1" applyBorder="1" applyAlignment="1">
      <alignment horizontal="center" vertical="top" wrapText="1"/>
    </xf>
    <xf numFmtId="1" fontId="104" fillId="43" borderId="38" xfId="0" applyNumberFormat="1" applyFont="1" applyFill="1" applyBorder="1" applyAlignment="1">
      <alignment horizontal="center" vertical="top" wrapText="1"/>
    </xf>
    <xf numFmtId="0" fontId="104" fillId="43" borderId="38" xfId="0" applyFont="1" applyFill="1" applyBorder="1" applyAlignment="1">
      <alignment horizontal="center" vertical="top" wrapText="1"/>
    </xf>
    <xf numFmtId="1" fontId="104" fillId="44" borderId="37" xfId="0" applyNumberFormat="1" applyFont="1" applyFill="1" applyBorder="1" applyAlignment="1">
      <alignment horizontal="center" vertical="top" wrapText="1"/>
    </xf>
    <xf numFmtId="1" fontId="104" fillId="44" borderId="38" xfId="0" applyNumberFormat="1" applyFont="1" applyFill="1" applyBorder="1" applyAlignment="1">
      <alignment horizontal="center" vertical="top" wrapText="1"/>
    </xf>
    <xf numFmtId="0" fontId="104" fillId="44" borderId="38" xfId="0" applyFont="1" applyFill="1" applyBorder="1" applyAlignment="1">
      <alignment horizontal="center" vertical="top" wrapText="1"/>
    </xf>
    <xf numFmtId="1" fontId="104" fillId="40" borderId="41" xfId="0" applyNumberFormat="1" applyFont="1" applyFill="1" applyBorder="1" applyAlignment="1">
      <alignment horizontal="center" vertical="top" wrapText="1"/>
    </xf>
    <xf numFmtId="0" fontId="104" fillId="40" borderId="38" xfId="0" applyFont="1" applyFill="1" applyBorder="1" applyAlignment="1">
      <alignment horizontal="center" vertical="top" wrapText="1"/>
    </xf>
    <xf numFmtId="212" fontId="104" fillId="40" borderId="38" xfId="0" applyNumberFormat="1" applyFont="1" applyFill="1" applyBorder="1" applyAlignment="1">
      <alignment horizontal="center" vertical="top" wrapText="1"/>
    </xf>
    <xf numFmtId="0" fontId="104" fillId="40" borderId="42" xfId="0" applyFont="1" applyFill="1" applyBorder="1" applyAlignment="1">
      <alignment horizontal="center" vertical="top" wrapText="1"/>
    </xf>
    <xf numFmtId="0" fontId="104" fillId="44" borderId="42" xfId="0" applyFont="1" applyFill="1" applyBorder="1" applyAlignment="1">
      <alignment horizontal="center" vertical="top" wrapText="1"/>
    </xf>
    <xf numFmtId="1" fontId="104" fillId="42" borderId="41" xfId="0" applyNumberFormat="1" applyFont="1" applyFill="1" applyBorder="1" applyAlignment="1">
      <alignment horizontal="center" vertical="top" wrapText="1"/>
    </xf>
    <xf numFmtId="0" fontId="104" fillId="42" borderId="38" xfId="0" applyFont="1" applyFill="1" applyBorder="1" applyAlignment="1">
      <alignment horizontal="center" vertical="top" wrapText="1"/>
    </xf>
    <xf numFmtId="212" fontId="104" fillId="42" borderId="38" xfId="0" applyNumberFormat="1" applyFont="1" applyFill="1" applyBorder="1" applyAlignment="1">
      <alignment horizontal="center" vertical="top" wrapText="1"/>
    </xf>
    <xf numFmtId="0" fontId="104" fillId="42" borderId="42" xfId="0" applyFont="1" applyFill="1" applyBorder="1" applyAlignment="1">
      <alignment horizontal="center" vertical="top" wrapText="1"/>
    </xf>
    <xf numFmtId="0" fontId="104" fillId="43" borderId="42" xfId="0" applyFont="1" applyFill="1" applyBorder="1" applyAlignment="1">
      <alignment horizontal="center" vertical="top" wrapText="1"/>
    </xf>
    <xf numFmtId="1" fontId="104" fillId="45" borderId="38" xfId="0" applyNumberFormat="1" applyFont="1" applyFill="1" applyBorder="1" applyAlignment="1">
      <alignment horizontal="center" vertical="top" wrapText="1"/>
    </xf>
    <xf numFmtId="0" fontId="104" fillId="45" borderId="38" xfId="0" applyFont="1" applyFill="1" applyBorder="1" applyAlignment="1">
      <alignment horizontal="center" vertical="top" wrapText="1"/>
    </xf>
    <xf numFmtId="0" fontId="104" fillId="45" borderId="42" xfId="0" applyFont="1" applyFill="1" applyBorder="1" applyAlignment="1">
      <alignment horizontal="center" vertical="top" wrapText="1"/>
    </xf>
    <xf numFmtId="167" fontId="95" fillId="0" borderId="35" xfId="86" applyFont="1" applyFill="1" applyBorder="1"/>
    <xf numFmtId="212" fontId="93" fillId="0" borderId="35" xfId="86" applyNumberFormat="1" applyFont="1" applyFill="1" applyBorder="1" applyProtection="1">
      <protection locked="0"/>
    </xf>
    <xf numFmtId="169" fontId="27" fillId="0" borderId="39" xfId="234" applyNumberFormat="1" applyFont="1" applyBorder="1" applyAlignment="1" applyProtection="1">
      <alignment horizontal="left" vertical="center"/>
      <protection locked="0"/>
    </xf>
    <xf numFmtId="0" fontId="104" fillId="48" borderId="26" xfId="0" applyFont="1" applyFill="1" applyBorder="1" applyAlignment="1">
      <alignment horizontal="center" vertical="center" wrapText="1"/>
    </xf>
    <xf numFmtId="169" fontId="27" fillId="0" borderId="40" xfId="234" applyNumberFormat="1" applyFont="1" applyBorder="1" applyAlignment="1" applyProtection="1">
      <alignment horizontal="left" vertical="center"/>
      <protection locked="0"/>
    </xf>
    <xf numFmtId="0" fontId="83" fillId="0" borderId="58" xfId="0" applyFont="1" applyBorder="1" applyAlignment="1">
      <alignment wrapText="1"/>
    </xf>
    <xf numFmtId="0" fontId="83" fillId="29" borderId="58" xfId="0" applyFont="1" applyFill="1" applyBorder="1" applyAlignment="1">
      <alignment wrapText="1"/>
    </xf>
    <xf numFmtId="0" fontId="87" fillId="29" borderId="58" xfId="0" applyFont="1" applyFill="1" applyBorder="1" applyAlignment="1">
      <alignment wrapText="1"/>
    </xf>
    <xf numFmtId="0" fontId="87" fillId="29" borderId="58" xfId="0" applyFont="1" applyFill="1" applyBorder="1" applyAlignment="1">
      <alignment horizontal="left" wrapText="1"/>
    </xf>
    <xf numFmtId="0" fontId="83" fillId="29" borderId="50" xfId="0" applyFont="1" applyFill="1" applyBorder="1"/>
    <xf numFmtId="0" fontId="87" fillId="29" borderId="50" xfId="0" applyFont="1" applyFill="1" applyBorder="1"/>
    <xf numFmtId="0" fontId="87" fillId="29" borderId="50" xfId="0" applyFont="1" applyFill="1" applyBorder="1" applyAlignment="1">
      <alignment horizontal="left" wrapText="1"/>
    </xf>
    <xf numFmtId="1" fontId="80" fillId="55" borderId="0" xfId="0" applyNumberFormat="1" applyFont="1" applyFill="1"/>
    <xf numFmtId="0" fontId="85" fillId="0" borderId="26" xfId="0" applyFont="1" applyBorder="1" applyAlignment="1">
      <alignment vertical="top"/>
    </xf>
    <xf numFmtId="4" fontId="85" fillId="0" borderId="26" xfId="0" applyNumberFormat="1" applyFont="1" applyBorder="1" applyAlignment="1">
      <alignment vertical="top"/>
    </xf>
    <xf numFmtId="0" fontId="24" fillId="31" borderId="29" xfId="234" applyFont="1" applyFill="1" applyBorder="1" applyAlignment="1" applyProtection="1">
      <alignment vertical="center" wrapText="1"/>
      <protection locked="0"/>
    </xf>
    <xf numFmtId="0" fontId="24" fillId="31" borderId="30" xfId="234" applyFont="1" applyFill="1" applyBorder="1" applyAlignment="1" applyProtection="1">
      <alignment vertical="center" wrapText="1"/>
      <protection locked="0"/>
    </xf>
    <xf numFmtId="0" fontId="24" fillId="31" borderId="30" xfId="234" applyFont="1" applyFill="1" applyBorder="1" applyAlignment="1" applyProtection="1">
      <alignment vertical="center"/>
      <protection locked="0"/>
    </xf>
    <xf numFmtId="210" fontId="83" fillId="0" borderId="50" xfId="0" applyNumberFormat="1" applyFont="1" applyBorder="1"/>
    <xf numFmtId="0" fontId="83" fillId="0" borderId="50" xfId="0" applyFont="1" applyBorder="1"/>
    <xf numFmtId="0" fontId="26" fillId="31" borderId="21" xfId="234" applyFont="1" applyFill="1" applyBorder="1" applyAlignment="1" applyProtection="1">
      <alignment horizontal="center" vertical="center"/>
      <protection locked="0"/>
    </xf>
    <xf numFmtId="169" fontId="27" fillId="0" borderId="21" xfId="234" applyNumberFormat="1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right"/>
      <protection locked="0"/>
    </xf>
    <xf numFmtId="215" fontId="27" fillId="37" borderId="60" xfId="0" applyNumberFormat="1" applyFont="1" applyFill="1" applyBorder="1" applyProtection="1">
      <protection locked="0"/>
    </xf>
    <xf numFmtId="215" fontId="27" fillId="50" borderId="60" xfId="0" applyNumberFormat="1" applyFont="1" applyFill="1" applyBorder="1" applyProtection="1">
      <protection locked="0"/>
    </xf>
    <xf numFmtId="215" fontId="27" fillId="46" borderId="60" xfId="0" applyNumberFormat="1" applyFont="1" applyFill="1" applyBorder="1" applyProtection="1">
      <protection locked="0"/>
    </xf>
    <xf numFmtId="215" fontId="102" fillId="37" borderId="60" xfId="0" applyNumberFormat="1" applyFont="1" applyFill="1" applyBorder="1" applyProtection="1">
      <protection locked="0"/>
    </xf>
    <xf numFmtId="169" fontId="27" fillId="0" borderId="39" xfId="234" applyNumberFormat="1" applyFont="1" applyBorder="1" applyAlignment="1" applyProtection="1">
      <alignment horizontal="center" vertical="center"/>
      <protection locked="0"/>
    </xf>
    <xf numFmtId="210" fontId="83" fillId="0" borderId="60" xfId="0" applyNumberFormat="1" applyFont="1" applyBorder="1"/>
    <xf numFmtId="1" fontId="83" fillId="29" borderId="50" xfId="0" applyNumberFormat="1" applyFont="1" applyFill="1" applyBorder="1"/>
    <xf numFmtId="210" fontId="83" fillId="49" borderId="50" xfId="0" applyNumberFormat="1" applyFont="1" applyFill="1" applyBorder="1"/>
    <xf numFmtId="1" fontId="83" fillId="29" borderId="57" xfId="0" applyNumberFormat="1" applyFont="1" applyFill="1" applyBorder="1"/>
    <xf numFmtId="0" fontId="83" fillId="29" borderId="61" xfId="0" applyFont="1" applyFill="1" applyBorder="1"/>
    <xf numFmtId="166" fontId="83" fillId="0" borderId="61" xfId="0" applyNumberFormat="1" applyFont="1" applyBorder="1"/>
    <xf numFmtId="166" fontId="83" fillId="49" borderId="61" xfId="0" applyNumberFormat="1" applyFont="1" applyFill="1" applyBorder="1"/>
    <xf numFmtId="210" fontId="83" fillId="0" borderId="57" xfId="0" applyNumberFormat="1" applyFont="1" applyBorder="1"/>
    <xf numFmtId="210" fontId="104" fillId="48" borderId="26" xfId="0" applyNumberFormat="1" applyFont="1" applyFill="1" applyBorder="1" applyAlignment="1">
      <alignment horizontal="center" vertical="center" wrapText="1"/>
    </xf>
    <xf numFmtId="0" fontId="103" fillId="31" borderId="21" xfId="234" applyFont="1" applyFill="1" applyBorder="1" applyAlignment="1" applyProtection="1">
      <alignment vertical="center"/>
      <protection locked="0"/>
    </xf>
    <xf numFmtId="0" fontId="103" fillId="31" borderId="22" xfId="234" applyFont="1" applyFill="1" applyBorder="1" applyAlignment="1" applyProtection="1">
      <alignment vertical="center"/>
      <protection locked="0"/>
    </xf>
    <xf numFmtId="0" fontId="87" fillId="29" borderId="50" xfId="0" applyFont="1" applyFill="1" applyBorder="1" applyAlignment="1">
      <alignment horizontal="right"/>
    </xf>
    <xf numFmtId="213" fontId="83" fillId="29" borderId="61" xfId="0" applyNumberFormat="1" applyFont="1" applyFill="1" applyBorder="1"/>
    <xf numFmtId="0" fontId="83" fillId="29" borderId="60" xfId="0" applyFont="1" applyFill="1" applyBorder="1"/>
    <xf numFmtId="212" fontId="83" fillId="29" borderId="60" xfId="0" applyNumberFormat="1" applyFont="1" applyFill="1" applyBorder="1"/>
    <xf numFmtId="0" fontId="83" fillId="0" borderId="50" xfId="0" applyFont="1" applyBorder="1" applyAlignment="1">
      <alignment horizontal="right"/>
    </xf>
    <xf numFmtId="212" fontId="83" fillId="0" borderId="60" xfId="0" applyNumberFormat="1" applyFont="1" applyBorder="1"/>
    <xf numFmtId="2" fontId="83" fillId="0" borderId="50" xfId="0" applyNumberFormat="1" applyFont="1" applyBorder="1" applyAlignment="1">
      <alignment horizontal="right"/>
    </xf>
    <xf numFmtId="213" fontId="87" fillId="29" borderId="61" xfId="0" applyNumberFormat="1" applyFont="1" applyFill="1" applyBorder="1"/>
    <xf numFmtId="210" fontId="83" fillId="57" borderId="60" xfId="0" applyNumberFormat="1" applyFont="1" applyFill="1" applyBorder="1"/>
    <xf numFmtId="212" fontId="83" fillId="57" borderId="60" xfId="0" applyNumberFormat="1" applyFont="1" applyFill="1" applyBorder="1"/>
    <xf numFmtId="166" fontId="83" fillId="57" borderId="61" xfId="0" applyNumberFormat="1" applyFont="1" applyFill="1" applyBorder="1"/>
    <xf numFmtId="210" fontId="83" fillId="57" borderId="50" xfId="0" applyNumberFormat="1" applyFont="1" applyFill="1" applyBorder="1"/>
    <xf numFmtId="210" fontId="83" fillId="0" borderId="50" xfId="0" applyNumberFormat="1" applyFont="1" applyBorder="1" applyAlignment="1">
      <alignment horizontal="right"/>
    </xf>
    <xf numFmtId="169" fontId="27" fillId="0" borderId="21" xfId="234" applyNumberFormat="1" applyFont="1" applyBorder="1" applyAlignment="1" applyProtection="1">
      <alignment horizontal="left" vertical="center"/>
      <protection locked="0"/>
    </xf>
    <xf numFmtId="169" fontId="27" fillId="0" borderId="22" xfId="234" applyNumberFormat="1" applyFont="1" applyBorder="1" applyAlignment="1" applyProtection="1">
      <alignment horizontal="left" vertical="center"/>
      <protection locked="0"/>
    </xf>
    <xf numFmtId="210" fontId="83" fillId="57" borderId="57" xfId="0" applyNumberFormat="1" applyFont="1" applyFill="1" applyBorder="1"/>
    <xf numFmtId="0" fontId="24" fillId="0" borderId="25" xfId="234" applyFont="1" applyBorder="1" applyAlignment="1" applyProtection="1">
      <alignment vertical="center"/>
      <protection locked="0"/>
    </xf>
    <xf numFmtId="169" fontId="24" fillId="0" borderId="21" xfId="234" applyNumberFormat="1" applyFont="1" applyBorder="1" applyAlignment="1" applyProtection="1">
      <alignment vertical="center"/>
      <protection locked="0"/>
    </xf>
    <xf numFmtId="0" fontId="24" fillId="0" borderId="21" xfId="234" applyFont="1" applyBorder="1" applyAlignment="1" applyProtection="1">
      <alignment horizontal="center" vertical="center" wrapText="1"/>
      <protection locked="0"/>
    </xf>
    <xf numFmtId="169" fontId="112" fillId="0" borderId="21" xfId="234" applyNumberFormat="1" applyFont="1" applyBorder="1" applyAlignment="1" applyProtection="1">
      <alignment vertical="center"/>
      <protection locked="0"/>
    </xf>
    <xf numFmtId="0" fontId="26" fillId="31" borderId="39" xfId="234" applyFont="1" applyFill="1" applyBorder="1" applyAlignment="1" applyProtection="1">
      <alignment horizontal="center" vertical="center"/>
      <protection locked="0"/>
    </xf>
    <xf numFmtId="169" fontId="27" fillId="0" borderId="21" xfId="234" applyNumberFormat="1" applyFont="1" applyBorder="1" applyAlignment="1" applyProtection="1">
      <alignment vertical="center"/>
      <protection locked="0"/>
    </xf>
    <xf numFmtId="210" fontId="27" fillId="0" borderId="21" xfId="234" applyNumberFormat="1" applyFont="1" applyBorder="1" applyAlignment="1" applyProtection="1">
      <alignment horizontal="left" vertical="center"/>
      <protection locked="0"/>
    </xf>
    <xf numFmtId="210" fontId="83" fillId="49" borderId="60" xfId="0" applyNumberFormat="1" applyFont="1" applyFill="1" applyBorder="1"/>
    <xf numFmtId="212" fontId="83" fillId="49" borderId="60" xfId="0" applyNumberFormat="1" applyFont="1" applyFill="1" applyBorder="1"/>
    <xf numFmtId="0" fontId="105" fillId="0" borderId="0" xfId="234" applyFont="1" applyAlignment="1" applyProtection="1">
      <alignment horizontal="center" vertical="center"/>
      <protection locked="0"/>
    </xf>
    <xf numFmtId="49" fontId="83" fillId="29" borderId="61" xfId="0" applyNumberFormat="1" applyFont="1" applyFill="1" applyBorder="1"/>
    <xf numFmtId="0" fontId="124" fillId="0" borderId="0" xfId="0" applyFont="1"/>
    <xf numFmtId="215" fontId="27" fillId="50" borderId="72" xfId="0" applyNumberFormat="1" applyFont="1" applyFill="1" applyBorder="1" applyProtection="1">
      <protection locked="0"/>
    </xf>
    <xf numFmtId="0" fontId="87" fillId="29" borderId="58" xfId="0" applyFont="1" applyFill="1" applyBorder="1" applyAlignment="1" applyProtection="1">
      <alignment horizontal="left" wrapText="1"/>
      <protection locked="0"/>
    </xf>
    <xf numFmtId="210" fontId="83" fillId="0" borderId="60" xfId="0" applyNumberFormat="1" applyFont="1" applyBorder="1" applyProtection="1">
      <protection locked="0"/>
    </xf>
    <xf numFmtId="212" fontId="83" fillId="0" borderId="60" xfId="0" applyNumberFormat="1" applyFont="1" applyBorder="1" applyProtection="1">
      <protection locked="0"/>
    </xf>
    <xf numFmtId="167" fontId="95" fillId="0" borderId="0" xfId="86" applyFont="1" applyFill="1" applyBorder="1" applyAlignment="1" applyProtection="1"/>
    <xf numFmtId="167" fontId="95" fillId="0" borderId="0" xfId="86" applyFont="1" applyFill="1" applyBorder="1" applyProtection="1"/>
    <xf numFmtId="167" fontId="95" fillId="0" borderId="35" xfId="86" applyFont="1" applyFill="1" applyBorder="1" applyProtection="1"/>
    <xf numFmtId="0" fontId="95" fillId="0" borderId="0" xfId="86" applyNumberFormat="1" applyFont="1" applyFill="1" applyBorder="1" applyProtection="1"/>
    <xf numFmtId="212" fontId="95" fillId="0" borderId="35" xfId="86" applyNumberFormat="1" applyFont="1" applyFill="1" applyBorder="1" applyProtection="1"/>
    <xf numFmtId="167" fontId="93" fillId="0" borderId="0" xfId="86" applyFont="1" applyFill="1" applyBorder="1" applyProtection="1"/>
    <xf numFmtId="212" fontId="93" fillId="0" borderId="35" xfId="86" applyNumberFormat="1" applyFont="1" applyFill="1" applyBorder="1" applyProtection="1"/>
    <xf numFmtId="0" fontId="84" fillId="0" borderId="0" xfId="0" applyFont="1"/>
    <xf numFmtId="0" fontId="22" fillId="0" borderId="0" xfId="0" applyFont="1" applyAlignment="1">
      <alignment horizontal="right" vertical="center" wrapText="1"/>
    </xf>
    <xf numFmtId="171" fontId="25" fillId="0" borderId="0" xfId="0" applyNumberFormat="1" applyFont="1"/>
    <xf numFmtId="0" fontId="96" fillId="0" borderId="0" xfId="0" applyFont="1"/>
    <xf numFmtId="212" fontId="96" fillId="0" borderId="0" xfId="0" applyNumberFormat="1" applyFont="1"/>
    <xf numFmtId="0" fontId="24" fillId="0" borderId="0" xfId="0" applyFont="1" applyAlignment="1">
      <alignment horizontal="right"/>
    </xf>
    <xf numFmtId="10" fontId="96" fillId="0" borderId="0" xfId="225" applyNumberFormat="1" applyFont="1" applyFill="1" applyBorder="1" applyProtection="1"/>
    <xf numFmtId="0" fontId="92" fillId="0" borderId="0" xfId="0" applyFont="1"/>
    <xf numFmtId="49" fontId="83" fillId="0" borderId="61" xfId="0" applyNumberFormat="1" applyFont="1" applyBorder="1"/>
    <xf numFmtId="0" fontId="82" fillId="0" borderId="0" xfId="0" applyFont="1"/>
    <xf numFmtId="167" fontId="95" fillId="0" borderId="0" xfId="86" applyFont="1" applyFill="1" applyBorder="1" applyAlignment="1" applyProtection="1">
      <alignment wrapText="1"/>
    </xf>
    <xf numFmtId="0" fontId="23" fillId="0" borderId="0" xfId="0" applyFont="1"/>
    <xf numFmtId="0" fontId="23" fillId="0" borderId="0" xfId="0" applyFont="1" applyAlignment="1">
      <alignment vertical="center"/>
    </xf>
    <xf numFmtId="49" fontId="83" fillId="57" borderId="61" xfId="0" applyNumberFormat="1" applyFont="1" applyFill="1" applyBorder="1"/>
    <xf numFmtId="166" fontId="83" fillId="0" borderId="58" xfId="0" applyNumberFormat="1" applyFont="1" applyBorder="1" applyAlignment="1">
      <alignment vertical="center" wrapText="1"/>
    </xf>
    <xf numFmtId="49" fontId="83" fillId="0" borderId="61" xfId="0" applyNumberFormat="1" applyFont="1" applyBorder="1" applyProtection="1">
      <protection locked="0"/>
    </xf>
    <xf numFmtId="49" fontId="83" fillId="49" borderId="61" xfId="0" applyNumberFormat="1" applyFont="1" applyFill="1" applyBorder="1"/>
    <xf numFmtId="9" fontId="23" fillId="0" borderId="0" xfId="225" applyFont="1" applyFill="1" applyBorder="1" applyAlignment="1" applyProtection="1">
      <alignment vertical="center"/>
    </xf>
    <xf numFmtId="210" fontId="87" fillId="62" borderId="50" xfId="0" applyNumberFormat="1" applyFont="1" applyFill="1" applyBorder="1" applyAlignment="1">
      <alignment horizontal="right"/>
    </xf>
    <xf numFmtId="0" fontId="87" fillId="62" borderId="58" xfId="0" applyFont="1" applyFill="1" applyBorder="1" applyAlignment="1">
      <alignment wrapText="1"/>
    </xf>
    <xf numFmtId="0" fontId="87" fillId="62" borderId="50" xfId="0" applyFont="1" applyFill="1" applyBorder="1"/>
    <xf numFmtId="213" fontId="87" fillId="62" borderId="61" xfId="0" applyNumberFormat="1" applyFont="1" applyFill="1" applyBorder="1"/>
    <xf numFmtId="214" fontId="83" fillId="57" borderId="50" xfId="0" applyNumberFormat="1" applyFont="1" applyFill="1" applyBorder="1"/>
    <xf numFmtId="210" fontId="95" fillId="0" borderId="0" xfId="86" applyNumberFormat="1" applyFont="1" applyFill="1" applyBorder="1" applyAlignment="1" applyProtection="1">
      <alignment horizontal="center"/>
    </xf>
    <xf numFmtId="210" fontId="86" fillId="0" borderId="0" xfId="0" applyNumberFormat="1" applyFont="1" applyAlignment="1">
      <alignment horizontal="center"/>
    </xf>
    <xf numFmtId="210" fontId="22" fillId="0" borderId="0" xfId="0" applyNumberFormat="1" applyFont="1" applyAlignment="1">
      <alignment horizontal="right" vertical="center" wrapText="1"/>
    </xf>
    <xf numFmtId="170" fontId="91" fillId="0" borderId="0" xfId="0" applyNumberFormat="1" applyFont="1"/>
    <xf numFmtId="0" fontId="111" fillId="48" borderId="0" xfId="0" applyFont="1" applyFill="1" applyAlignment="1">
      <alignment horizontal="left" vertical="center"/>
    </xf>
    <xf numFmtId="0" fontId="111" fillId="48" borderId="0" xfId="234" applyFont="1" applyFill="1" applyAlignment="1">
      <alignment vertical="center"/>
    </xf>
    <xf numFmtId="169" fontId="111" fillId="48" borderId="0" xfId="234" applyNumberFormat="1" applyFont="1" applyFill="1" applyAlignment="1">
      <alignment vertical="center"/>
    </xf>
    <xf numFmtId="0" fontId="90" fillId="34" borderId="47" xfId="0" applyFont="1" applyFill="1" applyBorder="1" applyAlignment="1">
      <alignment horizontal="center" vertical="center"/>
    </xf>
    <xf numFmtId="210" fontId="90" fillId="34" borderId="47" xfId="0" applyNumberFormat="1" applyFont="1" applyFill="1" applyBorder="1" applyAlignment="1">
      <alignment horizontal="center" vertical="center"/>
    </xf>
    <xf numFmtId="0" fontId="84" fillId="0" borderId="50" xfId="0" applyFont="1" applyBorder="1"/>
    <xf numFmtId="0" fontId="27" fillId="0" borderId="60" xfId="0" applyFont="1" applyBorder="1"/>
    <xf numFmtId="0" fontId="102" fillId="0" borderId="60" xfId="0" applyFont="1" applyBorder="1" applyAlignment="1">
      <alignment vertical="center"/>
    </xf>
    <xf numFmtId="0" fontId="27" fillId="0" borderId="60" xfId="0" applyFont="1" applyBorder="1" applyAlignment="1">
      <alignment horizontal="left" vertical="center" wrapText="1"/>
    </xf>
    <xf numFmtId="215" fontId="27" fillId="48" borderId="60" xfId="0" applyNumberFormat="1" applyFont="1" applyFill="1" applyBorder="1"/>
    <xf numFmtId="215" fontId="27" fillId="33" borderId="60" xfId="0" applyNumberFormat="1" applyFont="1" applyFill="1" applyBorder="1"/>
    <xf numFmtId="0" fontId="102" fillId="0" borderId="73" xfId="0" applyFont="1" applyBorder="1" applyAlignment="1">
      <alignment vertical="center" wrapText="1"/>
    </xf>
    <xf numFmtId="215" fontId="27" fillId="48" borderId="73" xfId="0" applyNumberFormat="1" applyFont="1" applyFill="1" applyBorder="1"/>
    <xf numFmtId="0" fontId="27" fillId="0" borderId="60" xfId="0" applyFont="1" applyBorder="1" applyAlignment="1">
      <alignment horizontal="left" wrapText="1"/>
    </xf>
    <xf numFmtId="0" fontId="27" fillId="0" borderId="67" xfId="0" applyFont="1" applyBorder="1"/>
    <xf numFmtId="0" fontId="27" fillId="0" borderId="67" xfId="0" applyFont="1" applyBorder="1" applyAlignment="1">
      <alignment horizontal="left" wrapText="1"/>
    </xf>
    <xf numFmtId="215" fontId="27" fillId="33" borderId="67" xfId="0" applyNumberFormat="1" applyFont="1" applyFill="1" applyBorder="1"/>
    <xf numFmtId="0" fontId="121" fillId="0" borderId="0" xfId="0" applyFont="1"/>
    <xf numFmtId="214" fontId="83" fillId="29" borderId="50" xfId="0" applyNumberFormat="1" applyFont="1" applyFill="1" applyBorder="1"/>
    <xf numFmtId="210" fontId="83" fillId="49" borderId="61" xfId="0" applyNumberFormat="1" applyFont="1" applyFill="1" applyBorder="1"/>
    <xf numFmtId="9" fontId="96" fillId="0" borderId="0" xfId="225" applyFont="1" applyFill="1" applyBorder="1" applyProtection="1"/>
    <xf numFmtId="210" fontId="84" fillId="0" borderId="0" xfId="0" applyNumberFormat="1" applyFont="1"/>
    <xf numFmtId="0" fontId="93" fillId="0" borderId="0" xfId="0" applyFont="1"/>
    <xf numFmtId="210" fontId="93" fillId="0" borderId="0" xfId="0" applyNumberFormat="1" applyFont="1"/>
    <xf numFmtId="170" fontId="93" fillId="0" borderId="0" xfId="0" applyNumberFormat="1" applyFont="1"/>
    <xf numFmtId="171" fontId="92" fillId="0" borderId="0" xfId="0" applyNumberFormat="1" applyFont="1"/>
    <xf numFmtId="9" fontId="28" fillId="0" borderId="0" xfId="225" applyFont="1" applyFill="1" applyBorder="1" applyAlignment="1" applyProtection="1">
      <alignment vertical="center"/>
    </xf>
    <xf numFmtId="9" fontId="94" fillId="0" borderId="0" xfId="225" applyFont="1" applyFill="1" applyBorder="1" applyAlignment="1" applyProtection="1">
      <alignment vertical="center"/>
    </xf>
    <xf numFmtId="170" fontId="93" fillId="0" borderId="56" xfId="0" applyNumberFormat="1" applyFont="1" applyBorder="1"/>
    <xf numFmtId="0" fontId="24" fillId="31" borderId="29" xfId="234" applyFont="1" applyFill="1" applyBorder="1" applyAlignment="1">
      <alignment vertical="center" wrapText="1"/>
    </xf>
    <xf numFmtId="0" fontId="24" fillId="31" borderId="30" xfId="234" applyFont="1" applyFill="1" applyBorder="1" applyAlignment="1">
      <alignment vertical="center" wrapText="1"/>
    </xf>
    <xf numFmtId="0" fontId="24" fillId="31" borderId="30" xfId="234" applyFont="1" applyFill="1" applyBorder="1" applyAlignment="1">
      <alignment vertical="center"/>
    </xf>
    <xf numFmtId="0" fontId="24" fillId="31" borderId="31" xfId="234" applyFont="1" applyFill="1" applyBorder="1" applyAlignment="1">
      <alignment vertical="center"/>
    </xf>
    <xf numFmtId="0" fontId="24" fillId="0" borderId="20" xfId="234" applyFont="1" applyBorder="1" applyAlignment="1">
      <alignment vertical="center"/>
    </xf>
    <xf numFmtId="0" fontId="115" fillId="0" borderId="58" xfId="0" applyFont="1" applyBorder="1" applyAlignment="1">
      <alignment vertical="center" wrapText="1"/>
    </xf>
    <xf numFmtId="0" fontId="115" fillId="0" borderId="57" xfId="0" applyFont="1" applyBorder="1" applyAlignment="1">
      <alignment vertical="center"/>
    </xf>
    <xf numFmtId="0" fontId="83" fillId="0" borderId="58" xfId="0" applyFont="1" applyBorder="1" applyAlignment="1">
      <alignment horizontal="left" vertical="center" wrapText="1"/>
    </xf>
    <xf numFmtId="0" fontId="83" fillId="0" borderId="50" xfId="0" applyFont="1" applyBorder="1" applyAlignment="1">
      <alignment horizontal="left" vertical="center"/>
    </xf>
    <xf numFmtId="0" fontId="83" fillId="0" borderId="63" xfId="0" applyFont="1" applyBorder="1" applyAlignment="1">
      <alignment horizontal="left" vertical="center" wrapText="1"/>
    </xf>
    <xf numFmtId="0" fontId="83" fillId="0" borderId="62" xfId="0" applyFont="1" applyBorder="1" applyAlignment="1">
      <alignment horizontal="left" vertical="center"/>
    </xf>
    <xf numFmtId="0" fontId="83" fillId="0" borderId="59" xfId="0" applyFont="1" applyBorder="1" applyAlignment="1">
      <alignment horizontal="left" vertical="center" wrapText="1"/>
    </xf>
    <xf numFmtId="0" fontId="100" fillId="0" borderId="0" xfId="0" applyFont="1" applyProtection="1">
      <protection locked="0"/>
    </xf>
    <xf numFmtId="0" fontId="104" fillId="0" borderId="0" xfId="0" applyFont="1" applyProtection="1">
      <protection locked="0"/>
    </xf>
    <xf numFmtId="0" fontId="104" fillId="0" borderId="43" xfId="0" applyFont="1" applyBorder="1" applyProtection="1">
      <protection locked="0"/>
    </xf>
    <xf numFmtId="0" fontId="104" fillId="0" borderId="13" xfId="0" applyFont="1" applyBorder="1"/>
    <xf numFmtId="0" fontId="104" fillId="0" borderId="11" xfId="0" applyFont="1" applyBorder="1"/>
    <xf numFmtId="0" fontId="104" fillId="0" borderId="44" xfId="0" applyFont="1" applyBorder="1"/>
    <xf numFmtId="0" fontId="104" fillId="0" borderId="15" xfId="0" applyFont="1" applyBorder="1"/>
    <xf numFmtId="218" fontId="84" fillId="0" borderId="0" xfId="0" applyNumberFormat="1" applyFont="1" applyProtection="1">
      <protection locked="0"/>
    </xf>
    <xf numFmtId="0" fontId="80" fillId="63" borderId="49" xfId="0" applyFont="1" applyFill="1" applyBorder="1"/>
    <xf numFmtId="0" fontId="80" fillId="63" borderId="49" xfId="0" applyFont="1" applyFill="1" applyBorder="1" applyAlignment="1">
      <alignment horizontal="center"/>
    </xf>
    <xf numFmtId="211" fontId="80" fillId="63" borderId="49" xfId="244" applyNumberFormat="1" applyFont="1" applyFill="1" applyBorder="1" applyAlignment="1">
      <alignment horizontal="center"/>
    </xf>
    <xf numFmtId="0" fontId="80" fillId="63" borderId="49" xfId="0" applyFont="1" applyFill="1" applyBorder="1" applyAlignment="1">
      <alignment wrapText="1"/>
    </xf>
    <xf numFmtId="0" fontId="80" fillId="63" borderId="0" xfId="0" applyFont="1" applyFill="1"/>
    <xf numFmtId="0" fontId="80" fillId="63" borderId="0" xfId="0" applyFont="1" applyFill="1" applyAlignment="1">
      <alignment horizontal="center"/>
    </xf>
    <xf numFmtId="211" fontId="80" fillId="63" borderId="0" xfId="244" applyNumberFormat="1" applyFont="1" applyFill="1" applyBorder="1" applyAlignment="1">
      <alignment horizontal="center"/>
    </xf>
    <xf numFmtId="210" fontId="87" fillId="29" borderId="50" xfId="0" applyNumberFormat="1" applyFont="1" applyFill="1" applyBorder="1" applyAlignment="1">
      <alignment horizontal="right"/>
    </xf>
    <xf numFmtId="0" fontId="27" fillId="0" borderId="75" xfId="0" applyFont="1" applyBorder="1"/>
    <xf numFmtId="0" fontId="102" fillId="0" borderId="75" xfId="0" applyFont="1" applyBorder="1" applyAlignment="1">
      <alignment vertical="center"/>
    </xf>
    <xf numFmtId="215" fontId="27" fillId="50" borderId="75" xfId="0" applyNumberFormat="1" applyFont="1" applyFill="1" applyBorder="1" applyProtection="1">
      <protection locked="0"/>
    </xf>
    <xf numFmtId="0" fontId="128" fillId="0" borderId="76" xfId="0" applyFont="1" applyBorder="1" applyAlignment="1">
      <alignment horizontal="left"/>
    </xf>
    <xf numFmtId="0" fontId="128" fillId="0" borderId="32" xfId="0" applyFont="1" applyBorder="1"/>
    <xf numFmtId="0" fontId="128" fillId="0" borderId="77" xfId="0" applyFont="1" applyBorder="1" applyAlignment="1">
      <alignment horizontal="left"/>
    </xf>
    <xf numFmtId="0" fontId="128" fillId="0" borderId="78" xfId="0" applyFont="1" applyBorder="1"/>
    <xf numFmtId="0" fontId="130" fillId="0" borderId="0" xfId="0" applyFont="1" applyProtection="1">
      <protection locked="0"/>
    </xf>
    <xf numFmtId="0" fontId="0" fillId="0" borderId="63" xfId="0" applyBorder="1"/>
    <xf numFmtId="2" fontId="115" fillId="0" borderId="50" xfId="0" applyNumberFormat="1" applyFont="1" applyBorder="1" applyAlignment="1">
      <alignment horizontal="right" vertical="center"/>
    </xf>
    <xf numFmtId="0" fontId="117" fillId="49" borderId="13" xfId="0" applyFont="1" applyFill="1" applyBorder="1" applyAlignment="1">
      <alignment horizontal="center" vertical="center"/>
    </xf>
    <xf numFmtId="0" fontId="24" fillId="49" borderId="47" xfId="0" applyFont="1" applyFill="1" applyBorder="1" applyAlignment="1">
      <alignment horizontal="center" vertical="center"/>
    </xf>
    <xf numFmtId="172" fontId="24" fillId="34" borderId="47" xfId="0" applyNumberFormat="1" applyFont="1" applyFill="1" applyBorder="1" applyAlignment="1">
      <alignment horizontal="center" vertical="center"/>
    </xf>
    <xf numFmtId="0" fontId="24" fillId="34" borderId="6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0" fillId="0" borderId="0" xfId="0" applyFont="1" applyAlignment="1" applyProtection="1">
      <alignment vertical="center"/>
      <protection locked="0"/>
    </xf>
    <xf numFmtId="0" fontId="104" fillId="0" borderId="26" xfId="0" applyFont="1" applyBorder="1" applyAlignment="1">
      <alignment vertical="top"/>
    </xf>
    <xf numFmtId="0" fontId="104" fillId="0" borderId="25" xfId="0" applyFont="1" applyBorder="1" applyAlignment="1">
      <alignment vertical="top" wrapText="1"/>
    </xf>
    <xf numFmtId="4" fontId="104" fillId="0" borderId="26" xfId="0" applyNumberFormat="1" applyFont="1" applyBorder="1" applyAlignment="1">
      <alignment vertical="top"/>
    </xf>
    <xf numFmtId="0" fontId="24" fillId="31" borderId="19" xfId="234" applyFont="1" applyFill="1" applyBorder="1" applyAlignment="1">
      <alignment horizontal="center" vertical="center" wrapText="1"/>
    </xf>
    <xf numFmtId="0" fontId="24" fillId="31" borderId="18" xfId="234" applyFont="1" applyFill="1" applyBorder="1" applyAlignment="1">
      <alignment horizontal="center" vertical="center" wrapText="1"/>
    </xf>
    <xf numFmtId="4" fontId="83" fillId="0" borderId="61" xfId="0" applyNumberFormat="1" applyFont="1" applyBorder="1"/>
    <xf numFmtId="4" fontId="87" fillId="62" borderId="61" xfId="0" applyNumberFormat="1" applyFont="1" applyFill="1" applyBorder="1"/>
    <xf numFmtId="4" fontId="83" fillId="29" borderId="61" xfId="0" applyNumberFormat="1" applyFont="1" applyFill="1" applyBorder="1"/>
    <xf numFmtId="4" fontId="87" fillId="29" borderId="61" xfId="0" applyNumberFormat="1" applyFont="1" applyFill="1" applyBorder="1"/>
    <xf numFmtId="4" fontId="87" fillId="29" borderId="61" xfId="0" applyNumberFormat="1" applyFont="1" applyFill="1" applyBorder="1" applyAlignment="1">
      <alignment horizontal="left" wrapText="1"/>
    </xf>
    <xf numFmtId="215" fontId="27" fillId="48" borderId="79" xfId="0" applyNumberFormat="1" applyFont="1" applyFill="1" applyBorder="1"/>
    <xf numFmtId="171" fontId="102" fillId="0" borderId="60" xfId="0" applyNumberFormat="1" applyFont="1" applyBorder="1" applyAlignment="1">
      <alignment horizontal="right" vertical="center"/>
    </xf>
    <xf numFmtId="171" fontId="27" fillId="0" borderId="60" xfId="0" applyNumberFormat="1" applyFont="1" applyBorder="1" applyAlignment="1">
      <alignment horizontal="right"/>
    </xf>
    <xf numFmtId="171" fontId="102" fillId="0" borderId="75" xfId="0" applyNumberFormat="1" applyFont="1" applyBorder="1" applyAlignment="1">
      <alignment horizontal="right" vertical="center"/>
    </xf>
    <xf numFmtId="171" fontId="102" fillId="0" borderId="73" xfId="0" applyNumberFormat="1" applyFont="1" applyBorder="1" applyAlignment="1">
      <alignment horizontal="right" vertical="center"/>
    </xf>
    <xf numFmtId="171" fontId="102" fillId="0" borderId="79" xfId="0" applyNumberFormat="1" applyFont="1" applyBorder="1" applyAlignment="1">
      <alignment horizontal="right" vertical="center"/>
    </xf>
    <xf numFmtId="171" fontId="27" fillId="0" borderId="67" xfId="0" applyNumberFormat="1" applyFont="1" applyBorder="1" applyAlignment="1">
      <alignment horizontal="right"/>
    </xf>
    <xf numFmtId="169" fontId="111" fillId="48" borderId="80" xfId="234" applyNumberFormat="1" applyFont="1" applyFill="1" applyBorder="1" applyAlignment="1">
      <alignment vertical="center"/>
    </xf>
    <xf numFmtId="169" fontId="24" fillId="0" borderId="80" xfId="234" applyNumberFormat="1" applyFont="1" applyBorder="1" applyAlignment="1">
      <alignment vertical="center"/>
    </xf>
    <xf numFmtId="0" fontId="24" fillId="0" borderId="80" xfId="234" applyFont="1" applyBorder="1" applyAlignment="1">
      <alignment horizontal="center" vertical="center" wrapText="1"/>
    </xf>
    <xf numFmtId="0" fontId="24" fillId="0" borderId="81" xfId="234" applyFont="1" applyBorder="1" applyAlignment="1">
      <alignment horizontal="center" vertical="center" wrapText="1"/>
    </xf>
    <xf numFmtId="169" fontId="27" fillId="0" borderId="80" xfId="234" applyNumberFormat="1" applyFont="1" applyBorder="1" applyAlignment="1">
      <alignment vertical="center"/>
    </xf>
    <xf numFmtId="0" fontId="113" fillId="52" borderId="29" xfId="0" applyFont="1" applyFill="1" applyBorder="1"/>
    <xf numFmtId="0" fontId="84" fillId="0" borderId="0" xfId="0" applyFont="1" applyAlignment="1" applyProtection="1">
      <alignment vertical="center"/>
      <protection locked="0"/>
    </xf>
    <xf numFmtId="210" fontId="87" fillId="29" borderId="50" xfId="0" applyNumberFormat="1" applyFont="1" applyFill="1" applyBorder="1" applyAlignment="1">
      <alignment horizontal="right" vertical="center"/>
    </xf>
    <xf numFmtId="0" fontId="83" fillId="29" borderId="50" xfId="0" applyFont="1" applyFill="1" applyBorder="1" applyAlignment="1">
      <alignment vertical="center"/>
    </xf>
    <xf numFmtId="213" fontId="83" fillId="29" borderId="61" xfId="0" applyNumberFormat="1" applyFont="1" applyFill="1" applyBorder="1" applyAlignment="1">
      <alignment vertical="center"/>
    </xf>
    <xf numFmtId="1" fontId="83" fillId="29" borderId="50" xfId="0" applyNumberFormat="1" applyFont="1" applyFill="1" applyBorder="1" applyAlignment="1">
      <alignment vertical="center"/>
    </xf>
    <xf numFmtId="0" fontId="83" fillId="29" borderId="61" xfId="0" applyFont="1" applyFill="1" applyBorder="1" applyAlignment="1">
      <alignment vertical="center"/>
    </xf>
    <xf numFmtId="0" fontId="83" fillId="29" borderId="60" xfId="0" applyFont="1" applyFill="1" applyBorder="1" applyAlignment="1">
      <alignment vertical="center"/>
    </xf>
    <xf numFmtId="212" fontId="83" fillId="29" borderId="60" xfId="0" applyNumberFormat="1" applyFont="1" applyFill="1" applyBorder="1" applyAlignment="1">
      <alignment vertical="center"/>
    </xf>
    <xf numFmtId="49" fontId="83" fillId="29" borderId="61" xfId="0" applyNumberFormat="1" applyFont="1" applyFill="1" applyBorder="1" applyAlignment="1">
      <alignment vertical="center"/>
    </xf>
    <xf numFmtId="210" fontId="83" fillId="0" borderId="50" xfId="0" applyNumberFormat="1" applyFont="1" applyBorder="1" applyAlignment="1">
      <alignment horizontal="right" vertical="center"/>
    </xf>
    <xf numFmtId="0" fontId="83" fillId="0" borderId="58" xfId="0" applyFont="1" applyBorder="1" applyAlignment="1">
      <alignment vertical="center" wrapText="1"/>
    </xf>
    <xf numFmtId="0" fontId="83" fillId="0" borderId="50" xfId="0" applyFont="1" applyBorder="1" applyAlignment="1">
      <alignment vertical="center"/>
    </xf>
    <xf numFmtId="4" fontId="83" fillId="0" borderId="61" xfId="0" applyNumberFormat="1" applyFont="1" applyBorder="1" applyAlignment="1">
      <alignment vertical="center"/>
    </xf>
    <xf numFmtId="49" fontId="83" fillId="0" borderId="61" xfId="0" applyNumberFormat="1" applyFont="1" applyBorder="1" applyAlignment="1" applyProtection="1">
      <alignment vertical="center"/>
      <protection locked="0"/>
    </xf>
    <xf numFmtId="166" fontId="87" fillId="29" borderId="58" xfId="0" applyNumberFormat="1" applyFont="1" applyFill="1" applyBorder="1" applyAlignment="1">
      <alignment vertical="center" wrapText="1"/>
    </xf>
    <xf numFmtId="166" fontId="83" fillId="29" borderId="50" xfId="0" applyNumberFormat="1" applyFont="1" applyFill="1" applyBorder="1" applyAlignment="1">
      <alignment vertical="center"/>
    </xf>
    <xf numFmtId="4" fontId="83" fillId="29" borderId="61" xfId="0" applyNumberFormat="1" applyFont="1" applyFill="1" applyBorder="1" applyAlignment="1">
      <alignment vertical="center"/>
    </xf>
    <xf numFmtId="210" fontId="83" fillId="57" borderId="50" xfId="0" applyNumberFormat="1" applyFont="1" applyFill="1" applyBorder="1" applyAlignment="1">
      <alignment vertical="center"/>
    </xf>
    <xf numFmtId="166" fontId="83" fillId="57" borderId="61" xfId="0" applyNumberFormat="1" applyFont="1" applyFill="1" applyBorder="1" applyAlignment="1">
      <alignment vertical="center"/>
    </xf>
    <xf numFmtId="210" fontId="83" fillId="57" borderId="60" xfId="0" applyNumberFormat="1" applyFont="1" applyFill="1" applyBorder="1" applyAlignment="1">
      <alignment vertical="center"/>
    </xf>
    <xf numFmtId="212" fontId="83" fillId="57" borderId="60" xfId="0" applyNumberFormat="1" applyFont="1" applyFill="1" applyBorder="1" applyAlignment="1">
      <alignment vertical="center"/>
    </xf>
    <xf numFmtId="49" fontId="83" fillId="57" borderId="61" xfId="0" applyNumberFormat="1" applyFont="1" applyFill="1" applyBorder="1" applyAlignment="1">
      <alignment vertical="center"/>
    </xf>
    <xf numFmtId="0" fontId="84" fillId="0" borderId="0" xfId="0" applyFont="1" applyAlignment="1">
      <alignment vertical="center"/>
    </xf>
    <xf numFmtId="0" fontId="83" fillId="0" borderId="50" xfId="0" applyFont="1" applyBorder="1" applyAlignment="1">
      <alignment horizontal="right" vertical="center"/>
    </xf>
    <xf numFmtId="166" fontId="83" fillId="0" borderId="50" xfId="0" applyNumberFormat="1" applyFont="1" applyBorder="1" applyAlignment="1">
      <alignment vertical="center"/>
    </xf>
    <xf numFmtId="210" fontId="83" fillId="0" borderId="50" xfId="0" applyNumberFormat="1" applyFont="1" applyBorder="1" applyAlignment="1">
      <alignment vertical="center"/>
    </xf>
    <xf numFmtId="166" fontId="83" fillId="0" borderId="61" xfId="0" applyNumberFormat="1" applyFont="1" applyBorder="1" applyAlignment="1">
      <alignment vertical="center"/>
    </xf>
    <xf numFmtId="210" fontId="83" fillId="0" borderId="60" xfId="0" applyNumberFormat="1" applyFont="1" applyBorder="1" applyAlignment="1">
      <alignment vertical="center"/>
    </xf>
    <xf numFmtId="212" fontId="83" fillId="0" borderId="60" xfId="0" applyNumberFormat="1" applyFont="1" applyBorder="1" applyAlignment="1">
      <alignment vertical="center"/>
    </xf>
    <xf numFmtId="49" fontId="83" fillId="0" borderId="61" xfId="0" applyNumberFormat="1" applyFont="1" applyBorder="1" applyAlignment="1">
      <alignment vertical="center"/>
    </xf>
    <xf numFmtId="0" fontId="87" fillId="29" borderId="50" xfId="0" applyFont="1" applyFill="1" applyBorder="1" applyAlignment="1">
      <alignment horizontal="right" vertical="center"/>
    </xf>
    <xf numFmtId="0" fontId="87" fillId="29" borderId="58" xfId="0" applyFont="1" applyFill="1" applyBorder="1" applyAlignment="1">
      <alignment vertical="center" wrapText="1"/>
    </xf>
    <xf numFmtId="0" fontId="87" fillId="29" borderId="50" xfId="0" applyFont="1" applyFill="1" applyBorder="1" applyAlignment="1">
      <alignment vertical="center"/>
    </xf>
    <xf numFmtId="213" fontId="87" fillId="29" borderId="61" xfId="0" applyNumberFormat="1" applyFont="1" applyFill="1" applyBorder="1" applyAlignment="1">
      <alignment vertical="center"/>
    </xf>
    <xf numFmtId="0" fontId="102" fillId="0" borderId="85" xfId="0" applyFont="1" applyBorder="1" applyAlignment="1">
      <alignment vertical="center"/>
    </xf>
    <xf numFmtId="171" fontId="102" fillId="0" borderId="85" xfId="0" applyNumberFormat="1" applyFont="1" applyBorder="1" applyAlignment="1">
      <alignment horizontal="right" vertical="center"/>
    </xf>
    <xf numFmtId="215" fontId="27" fillId="50" borderId="85" xfId="0" applyNumberFormat="1" applyFont="1" applyFill="1" applyBorder="1" applyProtection="1">
      <protection locked="0"/>
    </xf>
    <xf numFmtId="171" fontId="27" fillId="0" borderId="86" xfId="0" applyNumberFormat="1" applyFont="1" applyBorder="1" applyAlignment="1">
      <alignment horizontal="right"/>
    </xf>
    <xf numFmtId="0" fontId="104" fillId="0" borderId="82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104" fillId="0" borderId="87" xfId="0" applyFont="1" applyBorder="1"/>
    <xf numFmtId="0" fontId="27" fillId="0" borderId="85" xfId="0" applyFont="1" applyBorder="1"/>
    <xf numFmtId="0" fontId="102" fillId="0" borderId="89" xfId="0" applyFont="1" applyBorder="1" applyAlignment="1">
      <alignment vertical="center"/>
    </xf>
    <xf numFmtId="0" fontId="84" fillId="0" borderId="90" xfId="0" applyFont="1" applyBorder="1"/>
    <xf numFmtId="0" fontId="27" fillId="0" borderId="91" xfId="0" applyFont="1" applyBorder="1"/>
    <xf numFmtId="0" fontId="102" fillId="0" borderId="91" xfId="0" applyFont="1" applyBorder="1" applyAlignment="1">
      <alignment vertical="center"/>
    </xf>
    <xf numFmtId="215" fontId="27" fillId="48" borderId="91" xfId="0" applyNumberFormat="1" applyFont="1" applyFill="1" applyBorder="1"/>
    <xf numFmtId="171" fontId="102" fillId="0" borderId="91" xfId="0" applyNumberFormat="1" applyFont="1" applyBorder="1" applyAlignment="1">
      <alignment horizontal="right" vertical="center"/>
    </xf>
    <xf numFmtId="0" fontId="104" fillId="0" borderId="94" xfId="0" applyFont="1" applyBorder="1"/>
    <xf numFmtId="0" fontId="104" fillId="0" borderId="92" xfId="0" applyFont="1" applyBorder="1"/>
    <xf numFmtId="0" fontId="104" fillId="0" borderId="96" xfId="0" applyFont="1" applyBorder="1"/>
    <xf numFmtId="0" fontId="104" fillId="48" borderId="1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4" fillId="0" borderId="26" xfId="0" applyFont="1" applyBorder="1" applyAlignment="1">
      <alignment horizontal="center"/>
    </xf>
    <xf numFmtId="0" fontId="100" fillId="0" borderId="0" xfId="0" applyFont="1" applyAlignment="1">
      <alignment horizontal="center"/>
    </xf>
    <xf numFmtId="0" fontId="104" fillId="0" borderId="69" xfId="0" applyFont="1" applyBorder="1"/>
    <xf numFmtId="0" fontId="104" fillId="0" borderId="98" xfId="0" applyFont="1" applyBorder="1"/>
    <xf numFmtId="0" fontId="27" fillId="0" borderId="100" xfId="0" applyFont="1" applyBorder="1"/>
    <xf numFmtId="0" fontId="102" fillId="0" borderId="100" xfId="0" applyFont="1" applyBorder="1" applyAlignment="1">
      <alignment vertical="center"/>
    </xf>
    <xf numFmtId="0" fontId="84" fillId="0" borderId="101" xfId="0" applyFont="1" applyBorder="1"/>
    <xf numFmtId="0" fontId="27" fillId="0" borderId="102" xfId="0" applyFont="1" applyBorder="1" applyAlignment="1">
      <alignment horizontal="left" wrapText="1"/>
    </xf>
    <xf numFmtId="215" fontId="27" fillId="46" borderId="102" xfId="0" applyNumberFormat="1" applyFont="1" applyFill="1" applyBorder="1" applyProtection="1">
      <protection locked="0"/>
    </xf>
    <xf numFmtId="171" fontId="27" fillId="0" borderId="102" xfId="0" applyNumberFormat="1" applyFont="1" applyBorder="1" applyAlignment="1">
      <alignment horizontal="right"/>
    </xf>
    <xf numFmtId="0" fontId="134" fillId="65" borderId="13" xfId="0" applyFont="1" applyFill="1" applyBorder="1" applyAlignment="1">
      <alignment horizontal="center" vertical="center" wrapText="1"/>
    </xf>
    <xf numFmtId="0" fontId="134" fillId="65" borderId="65" xfId="0" applyFont="1" applyFill="1" applyBorder="1" applyAlignment="1">
      <alignment horizontal="center" vertical="center" wrapText="1"/>
    </xf>
    <xf numFmtId="0" fontId="134" fillId="65" borderId="101" xfId="0" quotePrefix="1" applyFont="1" applyFill="1" applyBorder="1" applyAlignment="1">
      <alignment horizontal="center" vertical="center"/>
    </xf>
    <xf numFmtId="0" fontId="0" fillId="0" borderId="103" xfId="0" applyBorder="1" applyAlignment="1">
      <alignment horizontal="center" vertical="center"/>
    </xf>
    <xf numFmtId="20" fontId="134" fillId="65" borderId="101" xfId="0" quotePrefix="1" applyNumberFormat="1" applyFont="1" applyFill="1" applyBorder="1" applyAlignment="1">
      <alignment horizontal="center" vertical="center"/>
    </xf>
    <xf numFmtId="0" fontId="134" fillId="65" borderId="96" xfId="0" quotePrefix="1" applyFont="1" applyFill="1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134" fillId="65" borderId="14" xfId="0" quotePrefix="1" applyFont="1" applyFill="1" applyBorder="1" applyAlignment="1">
      <alignment horizontal="center" vertical="center" wrapText="1"/>
    </xf>
    <xf numFmtId="0" fontId="0" fillId="0" borderId="104" xfId="0" applyBorder="1" applyAlignment="1">
      <alignment horizontal="center" vertical="center"/>
    </xf>
    <xf numFmtId="0" fontId="0" fillId="0" borderId="9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34" fillId="66" borderId="104" xfId="0" applyFont="1" applyFill="1" applyBorder="1" applyAlignment="1">
      <alignment horizontal="center" vertical="center"/>
    </xf>
    <xf numFmtId="0" fontId="134" fillId="67" borderId="97" xfId="0" applyFont="1" applyFill="1" applyBorder="1" applyAlignment="1">
      <alignment horizontal="center" vertical="center"/>
    </xf>
    <xf numFmtId="0" fontId="134" fillId="65" borderId="109" xfId="0" applyFont="1" applyFill="1" applyBorder="1" applyAlignment="1">
      <alignment horizontal="center" vertical="center" wrapText="1"/>
    </xf>
    <xf numFmtId="0" fontId="0" fillId="48" borderId="110" xfId="0" applyFill="1" applyBorder="1" applyAlignment="1" applyProtection="1">
      <alignment horizontal="center" vertical="center"/>
      <protection locked="0"/>
    </xf>
    <xf numFmtId="0" fontId="0" fillId="48" borderId="111" xfId="0" applyFill="1" applyBorder="1" applyAlignment="1" applyProtection="1">
      <alignment horizontal="center" vertical="center"/>
      <protection locked="0"/>
    </xf>
    <xf numFmtId="0" fontId="0" fillId="48" borderId="109" xfId="0" applyFill="1" applyBorder="1" applyAlignment="1" applyProtection="1">
      <alignment horizontal="center" vertical="center"/>
      <protection locked="0"/>
    </xf>
    <xf numFmtId="0" fontId="0" fillId="66" borderId="110" xfId="0" applyFill="1" applyBorder="1" applyAlignment="1">
      <alignment horizontal="center" vertical="center"/>
    </xf>
    <xf numFmtId="0" fontId="134" fillId="65" borderId="110" xfId="0" applyFont="1" applyFill="1" applyBorder="1" applyAlignment="1">
      <alignment horizontal="center" vertical="center"/>
    </xf>
    <xf numFmtId="0" fontId="134" fillId="65" borderId="111" xfId="0" applyFont="1" applyFill="1" applyBorder="1" applyAlignment="1">
      <alignment horizontal="center"/>
    </xf>
    <xf numFmtId="0" fontId="0" fillId="64" borderId="29" xfId="0" applyFill="1" applyBorder="1"/>
    <xf numFmtId="0" fontId="134" fillId="65" borderId="112" xfId="0" applyFont="1" applyFill="1" applyBorder="1" applyAlignment="1">
      <alignment horizontal="center" vertical="center" wrapText="1"/>
    </xf>
    <xf numFmtId="0" fontId="0" fillId="0" borderId="113" xfId="0" applyBorder="1" applyAlignment="1">
      <alignment horizontal="center" vertical="center"/>
    </xf>
    <xf numFmtId="0" fontId="0" fillId="0" borderId="114" xfId="0" applyBorder="1" applyAlignment="1">
      <alignment horizontal="center" vertical="center"/>
    </xf>
    <xf numFmtId="0" fontId="0" fillId="0" borderId="112" xfId="0" applyBorder="1" applyAlignment="1">
      <alignment horizontal="center" vertical="center"/>
    </xf>
    <xf numFmtId="0" fontId="0" fillId="66" borderId="113" xfId="0" applyFill="1" applyBorder="1"/>
    <xf numFmtId="0" fontId="135" fillId="0" borderId="13" xfId="0" applyFont="1" applyBorder="1" applyAlignment="1">
      <alignment horizontal="right" vertical="center"/>
    </xf>
    <xf numFmtId="0" fontId="135" fillId="0" borderId="47" xfId="0" applyFont="1" applyBorder="1" applyAlignment="1">
      <alignment horizontal="center" vertical="center"/>
    </xf>
    <xf numFmtId="0" fontId="135" fillId="0" borderId="14" xfId="0" applyFont="1" applyBorder="1" applyAlignment="1">
      <alignment vertical="center"/>
    </xf>
    <xf numFmtId="0" fontId="124" fillId="0" borderId="48" xfId="0" applyFont="1" applyBorder="1" applyAlignment="1">
      <alignment vertical="center"/>
    </xf>
    <xf numFmtId="0" fontId="135" fillId="0" borderId="101" xfId="0" applyFont="1" applyBorder="1" applyAlignment="1">
      <alignment horizontal="right" vertical="center"/>
    </xf>
    <xf numFmtId="0" fontId="135" fillId="0" borderId="102" xfId="0" applyFont="1" applyBorder="1" applyAlignment="1">
      <alignment horizontal="center" vertical="center"/>
    </xf>
    <xf numFmtId="0" fontId="135" fillId="0" borderId="104" xfId="0" applyFont="1" applyBorder="1" applyAlignment="1">
      <alignment vertical="center"/>
    </xf>
    <xf numFmtId="0" fontId="124" fillId="0" borderId="54" xfId="0" applyFont="1" applyBorder="1" applyAlignment="1">
      <alignment vertical="center"/>
    </xf>
    <xf numFmtId="0" fontId="135" fillId="0" borderId="96" xfId="0" applyFont="1" applyBorder="1" applyAlignment="1">
      <alignment horizontal="right" vertical="center"/>
    </xf>
    <xf numFmtId="0" fontId="135" fillId="0" borderId="52" xfId="0" applyFont="1" applyBorder="1" applyAlignment="1">
      <alignment horizontal="center" vertical="center"/>
    </xf>
    <xf numFmtId="0" fontId="135" fillId="0" borderId="97" xfId="0" applyFont="1" applyBorder="1" applyAlignment="1">
      <alignment vertical="center"/>
    </xf>
    <xf numFmtId="0" fontId="124" fillId="0" borderId="106" xfId="0" applyFont="1" applyBorder="1" applyAlignment="1">
      <alignment vertical="center"/>
    </xf>
    <xf numFmtId="0" fontId="124" fillId="0" borderId="107" xfId="0" applyFont="1" applyBorder="1" applyAlignment="1">
      <alignment horizontal="right" vertical="center"/>
    </xf>
    <xf numFmtId="0" fontId="124" fillId="0" borderId="108" xfId="0" applyFont="1" applyBorder="1" applyAlignment="1">
      <alignment horizontal="center" vertical="center"/>
    </xf>
    <xf numFmtId="0" fontId="124" fillId="0" borderId="32" xfId="0" applyFont="1" applyBorder="1" applyAlignment="1">
      <alignment vertical="center"/>
    </xf>
    <xf numFmtId="0" fontId="124" fillId="0" borderId="18" xfId="0" applyFont="1" applyBorder="1" applyAlignment="1">
      <alignment vertical="center"/>
    </xf>
    <xf numFmtId="0" fontId="124" fillId="0" borderId="13" xfId="0" applyFont="1" applyBorder="1" applyAlignment="1">
      <alignment horizontal="right" vertical="center"/>
    </xf>
    <xf numFmtId="0" fontId="124" fillId="0" borderId="14" xfId="0" applyFont="1" applyBorder="1" applyAlignment="1">
      <alignment vertical="center"/>
    </xf>
    <xf numFmtId="0" fontId="124" fillId="0" borderId="101" xfId="0" applyFont="1" applyBorder="1" applyAlignment="1">
      <alignment horizontal="right" vertical="center"/>
    </xf>
    <xf numFmtId="0" fontId="124" fillId="0" borderId="102" xfId="0" applyFont="1" applyBorder="1" applyAlignment="1">
      <alignment horizontal="center" vertical="center"/>
    </xf>
    <xf numFmtId="0" fontId="124" fillId="0" borderId="102" xfId="0" applyFont="1" applyBorder="1" applyAlignment="1">
      <alignment vertical="center"/>
    </xf>
    <xf numFmtId="0" fontId="124" fillId="0" borderId="104" xfId="0" applyFont="1" applyBorder="1" applyAlignment="1">
      <alignment vertical="center"/>
    </xf>
    <xf numFmtId="0" fontId="124" fillId="0" borderId="96" xfId="0" applyFont="1" applyBorder="1" applyAlignment="1">
      <alignment horizontal="right" vertical="center"/>
    </xf>
    <xf numFmtId="0" fontId="136" fillId="0" borderId="97" xfId="0" applyFont="1" applyBorder="1" applyAlignment="1">
      <alignment vertical="center" wrapText="1"/>
    </xf>
    <xf numFmtId="0" fontId="124" fillId="0" borderId="47" xfId="0" applyFont="1" applyBorder="1" applyAlignment="1">
      <alignment horizontal="center" vertical="center"/>
    </xf>
    <xf numFmtId="0" fontId="124" fillId="0" borderId="47" xfId="0" applyFont="1" applyBorder="1" applyAlignment="1">
      <alignment vertical="center"/>
    </xf>
    <xf numFmtId="0" fontId="124" fillId="0" borderId="23" xfId="0" applyFont="1" applyBorder="1" applyAlignment="1">
      <alignment vertical="center"/>
    </xf>
    <xf numFmtId="0" fontId="124" fillId="0" borderId="52" xfId="0" applyFont="1" applyBorder="1" applyAlignment="1">
      <alignment horizontal="center" vertical="center"/>
    </xf>
    <xf numFmtId="0" fontId="124" fillId="0" borderId="52" xfId="0" applyFont="1" applyBorder="1" applyAlignment="1">
      <alignment vertical="center"/>
    </xf>
    <xf numFmtId="0" fontId="124" fillId="0" borderId="81" xfId="0" applyFont="1" applyBorder="1" applyAlignment="1">
      <alignment vertical="center"/>
    </xf>
    <xf numFmtId="0" fontId="137" fillId="69" borderId="25" xfId="0" applyFont="1" applyFill="1" applyBorder="1" applyAlignment="1">
      <alignment horizontal="right" vertical="center"/>
    </xf>
    <xf numFmtId="0" fontId="137" fillId="69" borderId="26" xfId="0" applyFont="1" applyFill="1" applyBorder="1" applyAlignment="1">
      <alignment horizontal="center" vertical="center"/>
    </xf>
    <xf numFmtId="0" fontId="137" fillId="0" borderId="21" xfId="0" applyFont="1" applyBorder="1" applyAlignment="1">
      <alignment vertical="center"/>
    </xf>
    <xf numFmtId="0" fontId="124" fillId="0" borderId="22" xfId="0" applyFont="1" applyBorder="1" applyAlignment="1">
      <alignment vertical="center"/>
    </xf>
    <xf numFmtId="0" fontId="124" fillId="0" borderId="0" xfId="0" applyFont="1" applyAlignment="1">
      <alignment vertical="center"/>
    </xf>
    <xf numFmtId="0" fontId="124" fillId="0" borderId="0" xfId="0" applyFont="1" applyAlignment="1">
      <alignment horizontal="center" vertical="center"/>
    </xf>
    <xf numFmtId="0" fontId="124" fillId="0" borderId="102" xfId="0" applyFont="1" applyBorder="1" applyAlignment="1" applyProtection="1">
      <alignment horizontal="center" vertical="center"/>
      <protection locked="0"/>
    </xf>
    <xf numFmtId="0" fontId="0" fillId="48" borderId="114" xfId="0" applyFill="1" applyBorder="1" applyAlignment="1" applyProtection="1">
      <alignment horizontal="center" vertical="center"/>
      <protection locked="0"/>
    </xf>
    <xf numFmtId="0" fontId="83" fillId="29" borderId="58" xfId="0" applyFont="1" applyFill="1" applyBorder="1" applyAlignment="1">
      <alignment vertical="center" wrapText="1"/>
    </xf>
    <xf numFmtId="2" fontId="83" fillId="0" borderId="50" xfId="0" applyNumberFormat="1" applyFont="1" applyBorder="1" applyAlignment="1">
      <alignment horizontal="right" vertical="center"/>
    </xf>
    <xf numFmtId="0" fontId="87" fillId="29" borderId="57" xfId="0" applyFont="1" applyFill="1" applyBorder="1" applyAlignment="1">
      <alignment vertical="center" wrapText="1"/>
    </xf>
    <xf numFmtId="4" fontId="87" fillId="29" borderId="68" xfId="0" applyNumberFormat="1" applyFont="1" applyFill="1" applyBorder="1" applyAlignment="1">
      <alignment vertical="center" wrapText="1"/>
    </xf>
    <xf numFmtId="0" fontId="83" fillId="0" borderId="57" xfId="0" applyFont="1" applyBorder="1" applyAlignment="1">
      <alignment vertical="center"/>
    </xf>
    <xf numFmtId="4" fontId="83" fillId="0" borderId="68" xfId="0" applyNumberFormat="1" applyFont="1" applyBorder="1" applyAlignment="1">
      <alignment vertical="center"/>
    </xf>
    <xf numFmtId="0" fontId="88" fillId="0" borderId="58" xfId="0" applyFont="1" applyBorder="1" applyAlignment="1">
      <alignment vertical="center" wrapText="1"/>
    </xf>
    <xf numFmtId="0" fontId="88" fillId="0" borderId="57" xfId="0" applyFont="1" applyBorder="1" applyAlignment="1">
      <alignment vertical="center"/>
    </xf>
    <xf numFmtId="0" fontId="87" fillId="29" borderId="57" xfId="0" applyFont="1" applyFill="1" applyBorder="1" applyAlignment="1">
      <alignment vertical="center"/>
    </xf>
    <xf numFmtId="4" fontId="87" fillId="29" borderId="68" xfId="0" applyNumberFormat="1" applyFont="1" applyFill="1" applyBorder="1" applyAlignment="1">
      <alignment vertical="center"/>
    </xf>
    <xf numFmtId="2" fontId="88" fillId="0" borderId="50" xfId="0" applyNumberFormat="1" applyFont="1" applyBorder="1" applyAlignment="1">
      <alignment horizontal="right" vertical="center"/>
    </xf>
    <xf numFmtId="2" fontId="88" fillId="0" borderId="74" xfId="0" applyNumberFormat="1" applyFont="1" applyBorder="1" applyAlignment="1">
      <alignment horizontal="right" vertical="center"/>
    </xf>
    <xf numFmtId="4" fontId="88" fillId="0" borderId="68" xfId="0" applyNumberFormat="1" applyFont="1" applyBorder="1" applyAlignment="1">
      <alignment vertical="center"/>
    </xf>
    <xf numFmtId="0" fontId="83" fillId="0" borderId="83" xfId="0" applyFont="1" applyBorder="1" applyAlignment="1">
      <alignment vertical="center" wrapText="1"/>
    </xf>
    <xf numFmtId="4" fontId="83" fillId="0" borderId="84" xfId="0" applyNumberFormat="1" applyFont="1" applyBorder="1" applyAlignment="1">
      <alignment vertical="center"/>
    </xf>
    <xf numFmtId="166" fontId="83" fillId="0" borderId="57" xfId="0" applyNumberFormat="1" applyFont="1" applyBorder="1" applyAlignment="1">
      <alignment vertical="center"/>
    </xf>
    <xf numFmtId="166" fontId="83" fillId="0" borderId="103" xfId="0" applyNumberFormat="1" applyFont="1" applyBorder="1" applyAlignment="1">
      <alignment vertical="center" wrapText="1"/>
    </xf>
    <xf numFmtId="4" fontId="83" fillId="0" borderId="104" xfId="0" applyNumberFormat="1" applyFont="1" applyBorder="1" applyAlignment="1">
      <alignment vertical="center"/>
    </xf>
    <xf numFmtId="166" fontId="83" fillId="29" borderId="57" xfId="0" applyNumberFormat="1" applyFont="1" applyFill="1" applyBorder="1" applyAlignment="1">
      <alignment vertical="center"/>
    </xf>
    <xf numFmtId="4" fontId="83" fillId="29" borderId="68" xfId="0" applyNumberFormat="1" applyFont="1" applyFill="1" applyBorder="1" applyAlignment="1">
      <alignment vertical="center"/>
    </xf>
    <xf numFmtId="210" fontId="83" fillId="29" borderId="50" xfId="0" applyNumberFormat="1" applyFont="1" applyFill="1" applyBorder="1" applyAlignment="1">
      <alignment horizontal="right" vertical="center"/>
    </xf>
    <xf numFmtId="0" fontId="87" fillId="29" borderId="58" xfId="0" applyFont="1" applyFill="1" applyBorder="1" applyAlignment="1">
      <alignment horizontal="left" vertical="center" wrapText="1"/>
    </xf>
    <xf numFmtId="0" fontId="87" fillId="29" borderId="57" xfId="0" applyFont="1" applyFill="1" applyBorder="1" applyAlignment="1">
      <alignment horizontal="left" vertical="center" wrapText="1"/>
    </xf>
    <xf numFmtId="4" fontId="87" fillId="29" borderId="68" xfId="0" applyNumberFormat="1" applyFont="1" applyFill="1" applyBorder="1" applyAlignment="1">
      <alignment horizontal="left" vertical="center" wrapText="1"/>
    </xf>
    <xf numFmtId="0" fontId="83" fillId="29" borderId="57" xfId="0" applyFont="1" applyFill="1" applyBorder="1" applyAlignment="1">
      <alignment vertical="center"/>
    </xf>
    <xf numFmtId="0" fontId="87" fillId="29" borderId="58" xfId="0" applyFont="1" applyFill="1" applyBorder="1" applyAlignment="1">
      <alignment vertical="center"/>
    </xf>
    <xf numFmtId="2" fontId="83" fillId="0" borderId="115" xfId="0" applyNumberFormat="1" applyFont="1" applyBorder="1" applyAlignment="1">
      <alignment horizontal="right" vertical="center"/>
    </xf>
    <xf numFmtId="0" fontId="83" fillId="0" borderId="117" xfId="0" applyFont="1" applyBorder="1" applyAlignment="1">
      <alignment vertical="center"/>
    </xf>
    <xf numFmtId="4" fontId="83" fillId="0" borderId="118" xfId="0" applyNumberFormat="1" applyFont="1" applyBorder="1" applyAlignment="1">
      <alignment vertical="center"/>
    </xf>
    <xf numFmtId="0" fontId="83" fillId="0" borderId="116" xfId="0" applyFont="1" applyBorder="1" applyAlignment="1">
      <alignment vertical="center" wrapText="1"/>
    </xf>
    <xf numFmtId="4" fontId="83" fillId="0" borderId="64" xfId="0" applyNumberFormat="1" applyFont="1" applyBorder="1" applyAlignment="1">
      <alignment vertical="center"/>
    </xf>
    <xf numFmtId="0" fontId="83" fillId="0" borderId="51" xfId="0" applyFont="1" applyBorder="1" applyAlignment="1">
      <alignment vertical="center"/>
    </xf>
    <xf numFmtId="4" fontId="83" fillId="0" borderId="53" xfId="0" applyNumberFormat="1" applyFont="1" applyBorder="1" applyAlignment="1">
      <alignment vertical="center"/>
    </xf>
    <xf numFmtId="0" fontId="88" fillId="0" borderId="116" xfId="0" applyFont="1" applyBorder="1" applyAlignment="1">
      <alignment vertical="center" wrapText="1"/>
    </xf>
    <xf numFmtId="0" fontId="104" fillId="0" borderId="120" xfId="0" applyFont="1" applyBorder="1"/>
    <xf numFmtId="0" fontId="124" fillId="48" borderId="47" xfId="0" applyFont="1" applyFill="1" applyBorder="1" applyAlignment="1" applyProtection="1">
      <alignment horizontal="center" vertical="center"/>
      <protection locked="0"/>
    </xf>
    <xf numFmtId="0" fontId="124" fillId="48" borderId="47" xfId="0" applyFont="1" applyFill="1" applyBorder="1" applyAlignment="1">
      <alignment vertical="center"/>
    </xf>
    <xf numFmtId="0" fontId="124" fillId="48" borderId="52" xfId="0" applyFont="1" applyFill="1" applyBorder="1" applyAlignment="1" applyProtection="1">
      <alignment horizontal="center" vertical="center"/>
      <protection locked="0"/>
    </xf>
    <xf numFmtId="0" fontId="124" fillId="48" borderId="52" xfId="0" applyFont="1" applyFill="1" applyBorder="1" applyAlignment="1">
      <alignment vertical="center"/>
    </xf>
    <xf numFmtId="171" fontId="102" fillId="0" borderId="121" xfId="0" applyNumberFormat="1" applyFont="1" applyBorder="1" applyAlignment="1">
      <alignment horizontal="right" vertical="center"/>
    </xf>
    <xf numFmtId="0" fontId="27" fillId="0" borderId="122" xfId="0" applyFont="1" applyBorder="1"/>
    <xf numFmtId="0" fontId="27" fillId="0" borderId="122" xfId="0" applyFont="1" applyBorder="1" applyAlignment="1">
      <alignment horizontal="left" wrapText="1"/>
    </xf>
    <xf numFmtId="0" fontId="102" fillId="0" borderId="122" xfId="0" applyFont="1" applyBorder="1" applyAlignment="1">
      <alignment vertical="center"/>
    </xf>
    <xf numFmtId="215" fontId="27" fillId="46" borderId="122" xfId="0" applyNumberFormat="1" applyFont="1" applyFill="1" applyBorder="1" applyProtection="1">
      <protection locked="0"/>
    </xf>
    <xf numFmtId="171" fontId="27" fillId="0" borderId="122" xfId="0" applyNumberFormat="1" applyFont="1" applyBorder="1" applyAlignment="1">
      <alignment horizontal="right"/>
    </xf>
    <xf numFmtId="215" fontId="27" fillId="50" borderId="122" xfId="0" applyNumberFormat="1" applyFont="1" applyFill="1" applyBorder="1" applyProtection="1">
      <protection locked="0"/>
    </xf>
    <xf numFmtId="171" fontId="102" fillId="0" borderId="122" xfId="0" applyNumberFormat="1" applyFont="1" applyBorder="1" applyAlignment="1">
      <alignment horizontal="right" vertical="center"/>
    </xf>
    <xf numFmtId="0" fontId="111" fillId="48" borderId="0" xfId="234" applyFont="1" applyFill="1" applyAlignment="1">
      <alignment horizontal="left" vertical="center"/>
    </xf>
    <xf numFmtId="0" fontId="105" fillId="0" borderId="0" xfId="234" applyFont="1" applyAlignment="1" applyProtection="1">
      <alignment horizontal="left" vertical="center"/>
      <protection locked="0"/>
    </xf>
    <xf numFmtId="0" fontId="84" fillId="0" borderId="123" xfId="0" applyFont="1" applyBorder="1"/>
    <xf numFmtId="0" fontId="27" fillId="0" borderId="124" xfId="0" applyFont="1" applyBorder="1"/>
    <xf numFmtId="0" fontId="27" fillId="0" borderId="124" xfId="0" applyFont="1" applyBorder="1" applyAlignment="1">
      <alignment horizontal="left" wrapText="1"/>
    </xf>
    <xf numFmtId="0" fontId="102" fillId="0" borderId="124" xfId="0" applyFont="1" applyBorder="1" applyAlignment="1">
      <alignment vertical="center"/>
    </xf>
    <xf numFmtId="215" fontId="27" fillId="46" borderId="124" xfId="0" applyNumberFormat="1" applyFont="1" applyFill="1" applyBorder="1" applyProtection="1">
      <protection locked="0"/>
    </xf>
    <xf numFmtId="171" fontId="102" fillId="50" borderId="125" xfId="0" applyNumberFormat="1" applyFont="1" applyFill="1" applyBorder="1" applyAlignment="1" applyProtection="1">
      <alignment horizontal="right" vertical="center"/>
      <protection locked="0"/>
    </xf>
    <xf numFmtId="2" fontId="27" fillId="0" borderId="126" xfId="0" applyNumberFormat="1" applyFont="1" applyBorder="1"/>
    <xf numFmtId="0" fontId="0" fillId="0" borderId="123" xfId="0" applyBorder="1" applyProtection="1">
      <protection locked="0"/>
    </xf>
    <xf numFmtId="0" fontId="0" fillId="0" borderId="127" xfId="0" applyBorder="1"/>
    <xf numFmtId="171" fontId="121" fillId="0" borderId="0" xfId="0" applyNumberFormat="1" applyFont="1"/>
    <xf numFmtId="2" fontId="27" fillId="0" borderId="128" xfId="0" applyNumberFormat="1" applyFont="1" applyBorder="1"/>
    <xf numFmtId="171" fontId="121" fillId="0" borderId="129" xfId="0" applyNumberFormat="1" applyFont="1" applyBorder="1"/>
    <xf numFmtId="220" fontId="0" fillId="0" borderId="124" xfId="0" applyNumberFormat="1" applyBorder="1"/>
    <xf numFmtId="0" fontId="0" fillId="0" borderId="124" xfId="0" applyBorder="1"/>
    <xf numFmtId="0" fontId="0" fillId="0" borderId="130" xfId="0" applyBorder="1" applyProtection="1">
      <protection locked="0"/>
    </xf>
    <xf numFmtId="220" fontId="0" fillId="0" borderId="131" xfId="0" applyNumberFormat="1" applyBorder="1"/>
    <xf numFmtId="0" fontId="0" fillId="0" borderId="131" xfId="0" applyBorder="1"/>
    <xf numFmtId="0" fontId="0" fillId="0" borderId="132" xfId="0" applyBorder="1"/>
    <xf numFmtId="172" fontId="24" fillId="40" borderId="69" xfId="0" applyNumberFormat="1" applyFont="1" applyFill="1" applyBorder="1" applyAlignment="1">
      <alignment horizontal="center" vertical="center"/>
    </xf>
    <xf numFmtId="172" fontId="24" fillId="40" borderId="71" xfId="0" applyNumberFormat="1" applyFont="1" applyFill="1" applyBorder="1" applyAlignment="1">
      <alignment horizontal="center" vertical="center" wrapText="1"/>
    </xf>
    <xf numFmtId="0" fontId="24" fillId="40" borderId="71" xfId="0" applyFont="1" applyFill="1" applyBorder="1" applyAlignment="1">
      <alignment horizontal="center" vertical="center"/>
    </xf>
    <xf numFmtId="0" fontId="24" fillId="40" borderId="78" xfId="0" applyFont="1" applyFill="1" applyBorder="1" applyAlignment="1">
      <alignment horizontal="center" vertical="center"/>
    </xf>
    <xf numFmtId="0" fontId="0" fillId="0" borderId="126" xfId="0" applyBorder="1"/>
    <xf numFmtId="0" fontId="0" fillId="0" borderId="128" xfId="0" applyBorder="1"/>
    <xf numFmtId="172" fontId="24" fillId="58" borderId="69" xfId="0" applyNumberFormat="1" applyFont="1" applyFill="1" applyBorder="1" applyAlignment="1">
      <alignment horizontal="center" vertical="center"/>
    </xf>
    <xf numFmtId="172" fontId="24" fillId="58" borderId="71" xfId="0" applyNumberFormat="1" applyFont="1" applyFill="1" applyBorder="1" applyAlignment="1">
      <alignment horizontal="center" vertical="center" wrapText="1"/>
    </xf>
    <xf numFmtId="0" fontId="24" fillId="58" borderId="71" xfId="0" applyFont="1" applyFill="1" applyBorder="1" applyAlignment="1">
      <alignment horizontal="center" vertical="center"/>
    </xf>
    <xf numFmtId="0" fontId="24" fillId="58" borderId="78" xfId="0" applyFont="1" applyFill="1" applyBorder="1" applyAlignment="1">
      <alignment horizontal="center" vertical="center"/>
    </xf>
    <xf numFmtId="172" fontId="24" fillId="42" borderId="69" xfId="0" applyNumberFormat="1" applyFont="1" applyFill="1" applyBorder="1" applyAlignment="1">
      <alignment horizontal="center" vertical="center"/>
    </xf>
    <xf numFmtId="172" fontId="24" fillId="42" borderId="71" xfId="0" applyNumberFormat="1" applyFont="1" applyFill="1" applyBorder="1" applyAlignment="1">
      <alignment horizontal="center" vertical="center" wrapText="1"/>
    </xf>
    <xf numFmtId="0" fontId="24" fillId="42" borderId="71" xfId="0" applyFont="1" applyFill="1" applyBorder="1" applyAlignment="1">
      <alignment horizontal="center" vertical="center"/>
    </xf>
    <xf numFmtId="0" fontId="24" fillId="42" borderId="78" xfId="0" applyFont="1" applyFill="1" applyBorder="1" applyAlignment="1">
      <alignment horizontal="center" vertical="center"/>
    </xf>
    <xf numFmtId="172" fontId="24" fillId="43" borderId="69" xfId="0" applyNumberFormat="1" applyFont="1" applyFill="1" applyBorder="1" applyAlignment="1">
      <alignment horizontal="center" vertical="center"/>
    </xf>
    <xf numFmtId="172" fontId="24" fillId="43" borderId="71" xfId="0" applyNumberFormat="1" applyFont="1" applyFill="1" applyBorder="1" applyAlignment="1">
      <alignment horizontal="center" vertical="center" wrapText="1"/>
    </xf>
    <xf numFmtId="0" fontId="24" fillId="43" borderId="71" xfId="0" applyFont="1" applyFill="1" applyBorder="1" applyAlignment="1">
      <alignment horizontal="center" vertical="center"/>
    </xf>
    <xf numFmtId="0" fontId="24" fillId="43" borderId="70" xfId="0" applyFont="1" applyFill="1" applyBorder="1" applyAlignment="1">
      <alignment horizontal="center" vertical="center"/>
    </xf>
    <xf numFmtId="0" fontId="104" fillId="0" borderId="133" xfId="0" applyFont="1" applyBorder="1"/>
    <xf numFmtId="0" fontId="104" fillId="0" borderId="130" xfId="0" applyFont="1" applyBorder="1"/>
    <xf numFmtId="0" fontId="104" fillId="48" borderId="132" xfId="0" applyFont="1" applyFill="1" applyBorder="1" applyAlignment="1">
      <alignment horizontal="center"/>
    </xf>
    <xf numFmtId="0" fontId="104" fillId="0" borderId="123" xfId="0" applyFont="1" applyBorder="1"/>
    <xf numFmtId="0" fontId="104" fillId="48" borderId="127" xfId="0" applyFont="1" applyFill="1" applyBorder="1" applyAlignment="1">
      <alignment horizontal="center"/>
    </xf>
    <xf numFmtId="171" fontId="102" fillId="0" borderId="124" xfId="0" applyNumberFormat="1" applyFont="1" applyBorder="1" applyAlignment="1">
      <alignment horizontal="right" vertical="center"/>
    </xf>
    <xf numFmtId="0" fontId="83" fillId="0" borderId="126" xfId="0" applyFont="1" applyBorder="1" applyAlignment="1">
      <alignment vertical="center" wrapText="1"/>
    </xf>
    <xf numFmtId="4" fontId="83" fillId="0" borderId="127" xfId="0" applyNumberFormat="1" applyFont="1" applyBorder="1" applyAlignment="1">
      <alignment vertical="center"/>
    </xf>
    <xf numFmtId="215" fontId="27" fillId="50" borderId="124" xfId="0" applyNumberFormat="1" applyFont="1" applyFill="1" applyBorder="1" applyProtection="1">
      <protection locked="0"/>
    </xf>
    <xf numFmtId="171" fontId="27" fillId="0" borderId="124" xfId="0" applyNumberFormat="1" applyFont="1" applyBorder="1" applyAlignment="1">
      <alignment horizontal="right"/>
    </xf>
    <xf numFmtId="0" fontId="27" fillId="0" borderId="124" xfId="0" applyFont="1" applyBorder="1" applyAlignment="1">
      <alignment horizontal="left" vertical="center" wrapText="1"/>
    </xf>
    <xf numFmtId="0" fontId="84" fillId="0" borderId="123" xfId="0" quotePrefix="1" applyFont="1" applyBorder="1"/>
    <xf numFmtId="0" fontId="84" fillId="0" borderId="136" xfId="0" applyFont="1" applyBorder="1"/>
    <xf numFmtId="0" fontId="102" fillId="0" borderId="137" xfId="0" applyFont="1" applyBorder="1" applyAlignment="1">
      <alignment vertical="center"/>
    </xf>
    <xf numFmtId="215" fontId="27" fillId="50" borderId="137" xfId="0" applyNumberFormat="1" applyFont="1" applyFill="1" applyBorder="1" applyProtection="1">
      <protection locked="0"/>
    </xf>
    <xf numFmtId="171" fontId="102" fillId="0" borderId="137" xfId="0" applyNumberFormat="1" applyFont="1" applyBorder="1" applyAlignment="1">
      <alignment horizontal="right" vertical="center"/>
    </xf>
    <xf numFmtId="0" fontId="84" fillId="0" borderId="138" xfId="0" applyFont="1" applyBorder="1"/>
    <xf numFmtId="0" fontId="27" fillId="0" borderId="139" xfId="0" applyFont="1" applyBorder="1"/>
    <xf numFmtId="0" fontId="102" fillId="0" borderId="140" xfId="0" applyFont="1" applyBorder="1" applyAlignment="1">
      <alignment vertical="center"/>
    </xf>
    <xf numFmtId="0" fontId="102" fillId="0" borderId="139" xfId="0" applyFont="1" applyBorder="1" applyAlignment="1">
      <alignment vertical="center"/>
    </xf>
    <xf numFmtId="0" fontId="102" fillId="0" borderId="124" xfId="0" applyFont="1" applyBorder="1" applyAlignment="1">
      <alignment horizontal="left" vertical="center" wrapText="1"/>
    </xf>
    <xf numFmtId="215" fontId="27" fillId="50" borderId="141" xfId="0" applyNumberFormat="1" applyFont="1" applyFill="1" applyBorder="1" applyProtection="1">
      <protection locked="0"/>
    </xf>
    <xf numFmtId="0" fontId="84" fillId="0" borderId="123" xfId="0" applyFont="1" applyBorder="1" applyAlignment="1">
      <alignment vertical="center"/>
    </xf>
    <xf numFmtId="0" fontId="131" fillId="0" borderId="142" xfId="0" applyFont="1" applyBorder="1" applyAlignment="1">
      <alignment vertical="center"/>
    </xf>
    <xf numFmtId="2" fontId="131" fillId="0" borderId="50" xfId="0" applyNumberFormat="1" applyFont="1" applyBorder="1" applyProtection="1">
      <protection locked="0"/>
    </xf>
    <xf numFmtId="0" fontId="104" fillId="0" borderId="143" xfId="0" applyFont="1" applyBorder="1"/>
    <xf numFmtId="0" fontId="27" fillId="0" borderId="141" xfId="0" applyFont="1" applyBorder="1"/>
    <xf numFmtId="0" fontId="102" fillId="0" borderId="141" xfId="0" applyFont="1" applyBorder="1" applyAlignment="1">
      <alignment vertical="center"/>
    </xf>
    <xf numFmtId="4" fontId="83" fillId="0" borderId="134" xfId="0" applyNumberFormat="1" applyFont="1" applyBorder="1" applyAlignment="1">
      <alignment vertical="center"/>
    </xf>
    <xf numFmtId="171" fontId="102" fillId="0" borderId="141" xfId="0" applyNumberFormat="1" applyFont="1" applyBorder="1" applyAlignment="1">
      <alignment horizontal="right" vertical="center"/>
    </xf>
    <xf numFmtId="0" fontId="82" fillId="0" borderId="0" xfId="0" applyFont="1" applyAlignment="1" applyProtection="1">
      <alignment vertical="center"/>
      <protection locked="0"/>
    </xf>
    <xf numFmtId="0" fontId="97" fillId="0" borderId="0" xfId="0" applyFont="1" applyAlignment="1" applyProtection="1">
      <alignment vertical="center"/>
      <protection locked="0"/>
    </xf>
    <xf numFmtId="2" fontId="82" fillId="0" borderId="0" xfId="0" applyNumberFormat="1" applyFont="1" applyAlignment="1" applyProtection="1">
      <alignment vertical="center"/>
      <protection locked="0"/>
    </xf>
    <xf numFmtId="2" fontId="83" fillId="0" borderId="133" xfId="0" applyNumberFormat="1" applyFont="1" applyBorder="1" applyAlignment="1">
      <alignment horizontal="right" vertical="center"/>
    </xf>
    <xf numFmtId="0" fontId="83" fillId="0" borderId="134" xfId="0" applyFont="1" applyBorder="1" applyAlignment="1">
      <alignment vertical="center" wrapText="1"/>
    </xf>
    <xf numFmtId="0" fontId="83" fillId="0" borderId="135" xfId="0" applyFont="1" applyBorder="1" applyAlignment="1">
      <alignment vertical="center"/>
    </xf>
    <xf numFmtId="167" fontId="93" fillId="0" borderId="0" xfId="86" applyFont="1" applyFill="1" applyBorder="1" applyAlignment="1" applyProtection="1">
      <alignment vertical="center"/>
      <protection locked="0"/>
    </xf>
    <xf numFmtId="0" fontId="92" fillId="0" borderId="0" xfId="0" applyFont="1" applyAlignment="1" applyProtection="1">
      <alignment vertical="center"/>
      <protection locked="0"/>
    </xf>
    <xf numFmtId="0" fontId="82" fillId="0" borderId="0" xfId="0" applyFont="1" applyAlignment="1">
      <alignment vertical="center"/>
    </xf>
    <xf numFmtId="0" fontId="97" fillId="0" borderId="0" xfId="0" applyFont="1" applyAlignment="1">
      <alignment vertical="center"/>
    </xf>
    <xf numFmtId="0" fontId="131" fillId="0" borderId="0" xfId="0" applyFont="1" applyAlignment="1" applyProtection="1">
      <alignment vertical="center"/>
      <protection locked="0"/>
    </xf>
    <xf numFmtId="0" fontId="114" fillId="0" borderId="0" xfId="0" applyFont="1" applyAlignment="1" applyProtection="1">
      <alignment vertical="center"/>
      <protection locked="0"/>
    </xf>
    <xf numFmtId="0" fontId="100" fillId="0" borderId="0" xfId="0" applyFont="1" applyAlignment="1">
      <alignment vertical="center"/>
    </xf>
    <xf numFmtId="166" fontId="83" fillId="0" borderId="145" xfId="0" applyNumberFormat="1" applyFont="1" applyBorder="1" applyAlignment="1">
      <alignment vertical="center" wrapText="1"/>
    </xf>
    <xf numFmtId="166" fontId="83" fillId="0" borderId="146" xfId="0" applyNumberFormat="1" applyFont="1" applyBorder="1" applyAlignment="1">
      <alignment vertical="center"/>
    </xf>
    <xf numFmtId="4" fontId="83" fillId="0" borderId="147" xfId="0" applyNumberFormat="1" applyFont="1" applyBorder="1" applyAlignment="1">
      <alignment vertical="center"/>
    </xf>
    <xf numFmtId="0" fontId="83" fillId="0" borderId="61" xfId="0" applyFont="1" applyBorder="1" applyAlignment="1" applyProtection="1">
      <alignment horizontal="left" vertical="center"/>
      <protection locked="0"/>
    </xf>
    <xf numFmtId="0" fontId="27" fillId="0" borderId="148" xfId="0" applyFont="1" applyBorder="1"/>
    <xf numFmtId="2" fontId="27" fillId="0" borderId="145" xfId="0" applyNumberFormat="1" applyFont="1" applyBorder="1"/>
    <xf numFmtId="0" fontId="0" fillId="0" borderId="144" xfId="0" applyBorder="1" applyProtection="1">
      <protection locked="0"/>
    </xf>
    <xf numFmtId="0" fontId="27" fillId="0" borderId="148" xfId="0" applyFont="1" applyBorder="1" applyAlignment="1">
      <alignment horizontal="left" vertical="center" wrapText="1"/>
    </xf>
    <xf numFmtId="171" fontId="27" fillId="0" borderId="148" xfId="0" applyNumberFormat="1" applyFont="1" applyBorder="1" applyAlignment="1">
      <alignment horizontal="right"/>
    </xf>
    <xf numFmtId="0" fontId="104" fillId="0" borderId="149" xfId="0" applyFont="1" applyBorder="1"/>
    <xf numFmtId="0" fontId="104" fillId="0" borderId="151" xfId="0" applyFont="1" applyBorder="1"/>
    <xf numFmtId="0" fontId="104" fillId="0" borderId="153" xfId="0" applyFont="1" applyBorder="1"/>
    <xf numFmtId="14" fontId="128" fillId="0" borderId="77" xfId="0" applyNumberFormat="1" applyFont="1" applyBorder="1" applyAlignment="1">
      <alignment horizontal="left"/>
    </xf>
    <xf numFmtId="14" fontId="128" fillId="0" borderId="46" xfId="0" applyNumberFormat="1" applyFont="1" applyBorder="1" applyAlignment="1">
      <alignment horizontal="left"/>
    </xf>
    <xf numFmtId="0" fontId="84" fillId="0" borderId="155" xfId="0" applyFont="1" applyBorder="1"/>
    <xf numFmtId="0" fontId="27" fillId="0" borderId="156" xfId="0" applyFont="1" applyBorder="1"/>
    <xf numFmtId="0" fontId="102" fillId="0" borderId="156" xfId="0" applyFont="1" applyBorder="1" applyAlignment="1">
      <alignment vertical="center"/>
    </xf>
    <xf numFmtId="215" fontId="27" fillId="50" borderId="156" xfId="0" applyNumberFormat="1" applyFont="1" applyFill="1" applyBorder="1" applyProtection="1">
      <protection locked="0"/>
    </xf>
    <xf numFmtId="171" fontId="102" fillId="0" borderId="156" xfId="0" applyNumberFormat="1" applyFont="1" applyBorder="1" applyAlignment="1">
      <alignment horizontal="right" vertical="center"/>
    </xf>
    <xf numFmtId="171" fontId="102" fillId="48" borderId="156" xfId="0" applyNumberFormat="1" applyFont="1" applyFill="1" applyBorder="1" applyAlignment="1">
      <alignment horizontal="right" vertical="center"/>
    </xf>
    <xf numFmtId="0" fontId="138" fillId="0" borderId="0" xfId="0" applyFont="1" applyAlignment="1" applyProtection="1">
      <alignment horizontal="center" vertical="center"/>
      <protection locked="0"/>
    </xf>
    <xf numFmtId="2" fontId="83" fillId="0" borderId="157" xfId="0" applyNumberFormat="1" applyFont="1" applyBorder="1" applyAlignment="1">
      <alignment horizontal="right" vertical="center"/>
    </xf>
    <xf numFmtId="0" fontId="83" fillId="0" borderId="158" xfId="0" applyFont="1" applyBorder="1" applyAlignment="1">
      <alignment vertical="center" wrapText="1"/>
    </xf>
    <xf numFmtId="0" fontId="83" fillId="0" borderId="159" xfId="0" applyFont="1" applyBorder="1" applyAlignment="1">
      <alignment vertical="center"/>
    </xf>
    <xf numFmtId="4" fontId="83" fillId="0" borderId="160" xfId="0" applyNumberFormat="1" applyFont="1" applyBorder="1" applyAlignment="1">
      <alignment vertical="center"/>
    </xf>
    <xf numFmtId="0" fontId="88" fillId="0" borderId="158" xfId="0" applyFont="1" applyBorder="1" applyAlignment="1">
      <alignment vertical="center" wrapText="1"/>
    </xf>
    <xf numFmtId="2" fontId="83" fillId="0" borderId="161" xfId="0" applyNumberFormat="1" applyFont="1" applyBorder="1" applyAlignment="1">
      <alignment horizontal="right" vertical="center"/>
    </xf>
    <xf numFmtId="0" fontId="83" fillId="0" borderId="162" xfId="0" applyFont="1" applyBorder="1" applyAlignment="1">
      <alignment horizontal="left" vertical="center" wrapText="1"/>
    </xf>
    <xf numFmtId="0" fontId="83" fillId="0" borderId="161" xfId="0" applyFont="1" applyBorder="1" applyAlignment="1">
      <alignment horizontal="left" vertical="center"/>
    </xf>
    <xf numFmtId="4" fontId="83" fillId="0" borderId="163" xfId="0" applyNumberFormat="1" applyFont="1" applyBorder="1" applyAlignment="1">
      <alignment vertical="center"/>
    </xf>
    <xf numFmtId="2" fontId="83" fillId="0" borderId="50" xfId="0" applyNumberFormat="1" applyFont="1" applyBorder="1"/>
    <xf numFmtId="2" fontId="83" fillId="57" borderId="50" xfId="0" applyNumberFormat="1" applyFont="1" applyFill="1" applyBorder="1"/>
    <xf numFmtId="4" fontId="83" fillId="0" borderId="164" xfId="0" applyNumberFormat="1" applyFont="1" applyBorder="1" applyAlignment="1">
      <alignment vertical="center"/>
    </xf>
    <xf numFmtId="0" fontId="84" fillId="0" borderId="165" xfId="0" applyFont="1" applyBorder="1"/>
    <xf numFmtId="0" fontId="27" fillId="0" borderId="166" xfId="0" applyFont="1" applyBorder="1"/>
    <xf numFmtId="0" fontId="27" fillId="0" borderId="166" xfId="0" applyFont="1" applyBorder="1" applyAlignment="1">
      <alignment horizontal="left" wrapText="1"/>
    </xf>
    <xf numFmtId="0" fontId="102" fillId="0" borderId="166" xfId="0" applyFont="1" applyBorder="1" applyAlignment="1">
      <alignment vertical="center"/>
    </xf>
    <xf numFmtId="215" fontId="27" fillId="46" borderId="166" xfId="0" applyNumberFormat="1" applyFont="1" applyFill="1" applyBorder="1" applyProtection="1">
      <protection locked="0"/>
    </xf>
    <xf numFmtId="171" fontId="27" fillId="0" borderId="166" xfId="0" applyNumberFormat="1" applyFont="1" applyBorder="1" applyAlignment="1">
      <alignment horizontal="right"/>
    </xf>
    <xf numFmtId="2" fontId="27" fillId="0" borderId="167" xfId="0" applyNumberFormat="1" applyFont="1" applyBorder="1"/>
    <xf numFmtId="0" fontId="0" fillId="0" borderId="165" xfId="0" applyBorder="1" applyProtection="1">
      <protection locked="0"/>
    </xf>
    <xf numFmtId="2" fontId="83" fillId="0" borderId="168" xfId="0" applyNumberFormat="1" applyFont="1" applyBorder="1" applyAlignment="1">
      <alignment horizontal="right" vertical="center"/>
    </xf>
    <xf numFmtId="0" fontId="83" fillId="0" borderId="169" xfId="0" applyFont="1" applyBorder="1" applyAlignment="1">
      <alignment horizontal="left" vertical="center" wrapText="1"/>
    </xf>
    <xf numFmtId="0" fontId="83" fillId="0" borderId="168" xfId="0" applyFont="1" applyBorder="1" applyAlignment="1">
      <alignment horizontal="left" vertical="center"/>
    </xf>
    <xf numFmtId="4" fontId="83" fillId="0" borderId="170" xfId="0" applyNumberFormat="1" applyFont="1" applyBorder="1" applyAlignment="1">
      <alignment vertical="center"/>
    </xf>
    <xf numFmtId="215" fontId="27" fillId="50" borderId="168" xfId="0" applyNumberFormat="1" applyFont="1" applyFill="1" applyBorder="1" applyProtection="1">
      <protection locked="0"/>
    </xf>
    <xf numFmtId="215" fontId="27" fillId="50" borderId="171" xfId="0" applyNumberFormat="1" applyFont="1" applyFill="1" applyBorder="1" applyProtection="1">
      <protection locked="0"/>
    </xf>
    <xf numFmtId="215" fontId="27" fillId="50" borderId="172" xfId="0" applyNumberFormat="1" applyFont="1" applyFill="1" applyBorder="1" applyProtection="1">
      <protection locked="0"/>
    </xf>
    <xf numFmtId="215" fontId="27" fillId="50" borderId="173" xfId="0" applyNumberFormat="1" applyFont="1" applyFill="1" applyBorder="1" applyProtection="1">
      <protection locked="0"/>
    </xf>
    <xf numFmtId="2" fontId="131" fillId="0" borderId="172" xfId="0" applyNumberFormat="1" applyFont="1" applyBorder="1" applyAlignment="1" applyProtection="1">
      <alignment vertical="center"/>
      <protection locked="0"/>
    </xf>
    <xf numFmtId="166" fontId="131" fillId="0" borderId="174" xfId="0" applyNumberFormat="1" applyFont="1" applyBorder="1" applyAlignment="1">
      <alignment vertical="center"/>
    </xf>
    <xf numFmtId="210" fontId="131" fillId="0" borderId="173" xfId="0" applyNumberFormat="1" applyFont="1" applyBorder="1" applyAlignment="1">
      <alignment vertical="center"/>
    </xf>
    <xf numFmtId="212" fontId="131" fillId="0" borderId="173" xfId="0" applyNumberFormat="1" applyFont="1" applyBorder="1" applyAlignment="1">
      <alignment vertical="center"/>
    </xf>
    <xf numFmtId="49" fontId="131" fillId="0" borderId="174" xfId="0" applyNumberFormat="1" applyFont="1" applyBorder="1" applyAlignment="1" applyProtection="1">
      <alignment vertical="center"/>
      <protection locked="0"/>
    </xf>
    <xf numFmtId="210" fontId="131" fillId="0" borderId="172" xfId="0" applyNumberFormat="1" applyFont="1" applyBorder="1" applyAlignment="1" applyProtection="1">
      <alignment vertical="center"/>
      <protection locked="0"/>
    </xf>
    <xf numFmtId="166" fontId="131" fillId="0" borderId="174" xfId="0" applyNumberFormat="1" applyFont="1" applyBorder="1" applyAlignment="1" applyProtection="1">
      <alignment vertical="center"/>
      <protection locked="0"/>
    </xf>
    <xf numFmtId="210" fontId="131" fillId="0" borderId="173" xfId="0" applyNumberFormat="1" applyFont="1" applyBorder="1" applyAlignment="1" applyProtection="1">
      <alignment vertical="center"/>
      <protection locked="0"/>
    </xf>
    <xf numFmtId="0" fontId="131" fillId="0" borderId="174" xfId="0" applyFont="1" applyBorder="1" applyAlignment="1" applyProtection="1">
      <alignment horizontal="left" vertical="center"/>
      <protection locked="0"/>
    </xf>
    <xf numFmtId="2" fontId="83" fillId="0" borderId="172" xfId="0" applyNumberFormat="1" applyFont="1" applyBorder="1" applyAlignment="1">
      <alignment horizontal="right" vertical="center"/>
    </xf>
    <xf numFmtId="0" fontId="83" fillId="0" borderId="172" xfId="0" applyFont="1" applyBorder="1" applyAlignment="1">
      <alignment vertical="center"/>
    </xf>
    <xf numFmtId="4" fontId="83" fillId="0" borderId="174" xfId="0" applyNumberFormat="1" applyFont="1" applyBorder="1" applyAlignment="1">
      <alignment vertical="center"/>
    </xf>
    <xf numFmtId="210" fontId="83" fillId="0" borderId="172" xfId="0" applyNumberFormat="1" applyFont="1" applyBorder="1" applyAlignment="1">
      <alignment vertical="center"/>
    </xf>
    <xf numFmtId="210" fontId="83" fillId="0" borderId="173" xfId="0" applyNumberFormat="1" applyFont="1" applyBorder="1" applyAlignment="1">
      <alignment vertical="center"/>
    </xf>
    <xf numFmtId="212" fontId="83" fillId="0" borderId="173" xfId="0" applyNumberFormat="1" applyFont="1" applyBorder="1" applyAlignment="1">
      <alignment vertical="center"/>
    </xf>
    <xf numFmtId="49" fontId="83" fillId="0" borderId="174" xfId="0" applyNumberFormat="1" applyFont="1" applyBorder="1" applyAlignment="1">
      <alignment vertical="center"/>
    </xf>
    <xf numFmtId="0" fontId="83" fillId="0" borderId="174" xfId="0" applyFont="1" applyBorder="1" applyAlignment="1">
      <alignment horizontal="left" vertical="center"/>
    </xf>
    <xf numFmtId="2" fontId="83" fillId="0" borderId="172" xfId="0" applyNumberFormat="1" applyFont="1" applyBorder="1" applyAlignment="1">
      <alignment vertical="center"/>
    </xf>
    <xf numFmtId="166" fontId="83" fillId="0" borderId="174" xfId="0" applyNumberFormat="1" applyFont="1" applyBorder="1" applyAlignment="1">
      <alignment vertical="center"/>
    </xf>
    <xf numFmtId="0" fontId="83" fillId="0" borderId="61" xfId="0" applyFont="1" applyBorder="1" applyAlignment="1" applyProtection="1">
      <alignment horizontal="left"/>
      <protection locked="0"/>
    </xf>
    <xf numFmtId="0" fontId="83" fillId="0" borderId="61" xfId="0" applyFont="1" applyBorder="1" applyAlignment="1">
      <alignment horizontal="left"/>
    </xf>
    <xf numFmtId="49" fontId="83" fillId="0" borderId="61" xfId="0" applyNumberFormat="1" applyFont="1" applyBorder="1" applyAlignment="1">
      <alignment horizontal="left"/>
    </xf>
    <xf numFmtId="0" fontId="83" fillId="57" borderId="61" xfId="0" applyFont="1" applyFill="1" applyBorder="1" applyAlignment="1">
      <alignment horizontal="left"/>
    </xf>
    <xf numFmtId="0" fontId="83" fillId="49" borderId="61" xfId="0" applyFont="1" applyFill="1" applyBorder="1" applyAlignment="1">
      <alignment horizontal="left"/>
    </xf>
    <xf numFmtId="49" fontId="83" fillId="0" borderId="61" xfId="0" quotePrefix="1" applyNumberFormat="1" applyFont="1" applyBorder="1" applyAlignment="1">
      <alignment horizontal="left"/>
    </xf>
    <xf numFmtId="0" fontId="84" fillId="0" borderId="175" xfId="0" applyFont="1" applyBorder="1" applyAlignment="1" applyProtection="1">
      <alignment vertical="center" wrapText="1"/>
      <protection locked="0"/>
    </xf>
    <xf numFmtId="0" fontId="84" fillId="0" borderId="175" xfId="0" applyFont="1" applyBorder="1" applyAlignment="1" applyProtection="1">
      <alignment horizontal="center" vertical="center"/>
      <protection locked="0"/>
    </xf>
    <xf numFmtId="0" fontId="84" fillId="0" borderId="175" xfId="0" applyFont="1" applyBorder="1" applyAlignment="1" applyProtection="1">
      <alignment vertical="center"/>
      <protection locked="0"/>
    </xf>
    <xf numFmtId="0" fontId="25" fillId="31" borderId="26" xfId="234" applyFont="1" applyFill="1" applyBorder="1" applyAlignment="1">
      <alignment vertical="center" wrapText="1"/>
    </xf>
    <xf numFmtId="210" fontId="128" fillId="0" borderId="77" xfId="0" applyNumberFormat="1" applyFont="1" applyBorder="1" applyAlignment="1">
      <alignment horizontal="left"/>
    </xf>
    <xf numFmtId="0" fontId="111" fillId="48" borderId="39" xfId="234" applyFont="1" applyFill="1" applyBorder="1" applyAlignment="1">
      <alignment horizontal="left" vertical="center"/>
    </xf>
    <xf numFmtId="0" fontId="27" fillId="0" borderId="178" xfId="0" applyFont="1" applyBorder="1"/>
    <xf numFmtId="0" fontId="102" fillId="0" borderId="178" xfId="0" applyFont="1" applyBorder="1" applyAlignment="1">
      <alignment vertical="center"/>
    </xf>
    <xf numFmtId="171" fontId="102" fillId="0" borderId="178" xfId="0" applyNumberFormat="1" applyFont="1" applyBorder="1" applyAlignment="1">
      <alignment horizontal="right" vertical="center"/>
    </xf>
    <xf numFmtId="2" fontId="27" fillId="0" borderId="179" xfId="0" applyNumberFormat="1" applyFont="1" applyBorder="1"/>
    <xf numFmtId="0" fontId="0" fillId="0" borderId="177" xfId="0" applyBorder="1" applyProtection="1">
      <protection locked="0"/>
    </xf>
    <xf numFmtId="0" fontId="102" fillId="0" borderId="178" xfId="0" applyFont="1" applyBorder="1" applyAlignment="1">
      <alignment horizontal="left" vertical="center" wrapText="1"/>
    </xf>
    <xf numFmtId="4" fontId="83" fillId="0" borderId="180" xfId="0" applyNumberFormat="1" applyFont="1" applyBorder="1" applyAlignment="1">
      <alignment vertical="center"/>
    </xf>
    <xf numFmtId="166" fontId="131" fillId="49" borderId="181" xfId="0" applyNumberFormat="1" applyFont="1" applyFill="1" applyBorder="1" applyAlignment="1">
      <alignment vertical="center"/>
    </xf>
    <xf numFmtId="210" fontId="131" fillId="49" borderId="181" xfId="0" applyNumberFormat="1" applyFont="1" applyFill="1" applyBorder="1" applyAlignment="1">
      <alignment vertical="center"/>
    </xf>
    <xf numFmtId="0" fontId="84" fillId="0" borderId="182" xfId="0" applyFont="1" applyBorder="1"/>
    <xf numFmtId="0" fontId="27" fillId="0" borderId="183" xfId="0" applyFont="1" applyBorder="1"/>
    <xf numFmtId="0" fontId="102" fillId="0" borderId="183" xfId="0" applyFont="1" applyBorder="1" applyAlignment="1">
      <alignment vertical="center"/>
    </xf>
    <xf numFmtId="171" fontId="102" fillId="0" borderId="183" xfId="0" applyNumberFormat="1" applyFont="1" applyBorder="1" applyAlignment="1">
      <alignment horizontal="right" vertical="center"/>
    </xf>
    <xf numFmtId="0" fontId="104" fillId="53" borderId="107" xfId="0" applyFont="1" applyFill="1" applyBorder="1"/>
    <xf numFmtId="0" fontId="104" fillId="53" borderId="187" xfId="0" applyFont="1" applyFill="1" applyBorder="1" applyAlignment="1">
      <alignment horizontal="center"/>
    </xf>
    <xf numFmtId="9" fontId="114" fillId="0" borderId="0" xfId="0" applyNumberFormat="1" applyFont="1"/>
    <xf numFmtId="171" fontId="122" fillId="70" borderId="71" xfId="0" applyNumberFormat="1" applyFont="1" applyFill="1" applyBorder="1"/>
    <xf numFmtId="9" fontId="122" fillId="70" borderId="71" xfId="225" applyFont="1" applyFill="1" applyBorder="1" applyProtection="1"/>
    <xf numFmtId="9" fontId="122" fillId="70" borderId="70" xfId="225" applyFont="1" applyFill="1" applyBorder="1" applyProtection="1"/>
    <xf numFmtId="171" fontId="122" fillId="70" borderId="124" xfId="0" applyNumberFormat="1" applyFont="1" applyFill="1" applyBorder="1"/>
    <xf numFmtId="9" fontId="122" fillId="70" borderId="124" xfId="225" applyFont="1" applyFill="1" applyBorder="1" applyProtection="1"/>
    <xf numFmtId="9" fontId="122" fillId="70" borderId="127" xfId="225" applyFont="1" applyFill="1" applyBorder="1" applyProtection="1"/>
    <xf numFmtId="171" fontId="122" fillId="70" borderId="131" xfId="0" applyNumberFormat="1" applyFont="1" applyFill="1" applyBorder="1"/>
    <xf numFmtId="9" fontId="122" fillId="70" borderId="131" xfId="225" applyFont="1" applyFill="1" applyBorder="1" applyProtection="1"/>
    <xf numFmtId="9" fontId="122" fillId="70" borderId="132" xfId="225" applyFont="1" applyFill="1" applyBorder="1" applyProtection="1"/>
    <xf numFmtId="165" fontId="122" fillId="50" borderId="26" xfId="0" applyNumberFormat="1" applyFont="1" applyFill="1" applyBorder="1"/>
    <xf numFmtId="0" fontId="113" fillId="70" borderId="190" xfId="0" applyFont="1" applyFill="1" applyBorder="1"/>
    <xf numFmtId="0" fontId="113" fillId="0" borderId="188" xfId="0" applyFont="1" applyBorder="1"/>
    <xf numFmtId="0" fontId="113" fillId="0" borderId="191" xfId="0" applyFont="1" applyBorder="1"/>
    <xf numFmtId="0" fontId="113" fillId="0" borderId="189" xfId="0" applyFont="1" applyBorder="1"/>
    <xf numFmtId="0" fontId="140" fillId="50" borderId="25" xfId="0" applyFont="1" applyFill="1" applyBorder="1"/>
    <xf numFmtId="0" fontId="122" fillId="50" borderId="26" xfId="0" applyFont="1" applyFill="1" applyBorder="1"/>
    <xf numFmtId="0" fontId="113" fillId="0" borderId="112" xfId="0" applyFont="1" applyBorder="1" applyProtection="1">
      <protection locked="0"/>
    </xf>
    <xf numFmtId="165" fontId="122" fillId="50" borderId="113" xfId="0" applyNumberFormat="1" applyFont="1" applyFill="1" applyBorder="1"/>
    <xf numFmtId="165" fontId="122" fillId="50" borderId="114" xfId="0" applyNumberFormat="1" applyFont="1" applyFill="1" applyBorder="1"/>
    <xf numFmtId="0" fontId="113" fillId="0" borderId="113" xfId="0" applyFont="1" applyBorder="1" applyProtection="1">
      <protection locked="0"/>
    </xf>
    <xf numFmtId="0" fontId="127" fillId="50" borderId="26" xfId="0" applyFont="1" applyFill="1" applyBorder="1"/>
    <xf numFmtId="0" fontId="110" fillId="0" borderId="190" xfId="0" applyFont="1" applyBorder="1" applyProtection="1">
      <protection locked="0"/>
    </xf>
    <xf numFmtId="0" fontId="92" fillId="0" borderId="0" xfId="0" applyFont="1" applyAlignment="1">
      <alignment horizontal="right"/>
    </xf>
    <xf numFmtId="0" fontId="113" fillId="0" borderId="0" xfId="0" applyFont="1"/>
    <xf numFmtId="0" fontId="119" fillId="68" borderId="0" xfId="0" applyFont="1" applyFill="1" applyAlignment="1">
      <alignment horizontal="right" wrapText="1"/>
    </xf>
    <xf numFmtId="0" fontId="119" fillId="68" borderId="0" xfId="0" applyFont="1" applyFill="1" applyAlignment="1">
      <alignment horizontal="center" wrapText="1"/>
    </xf>
    <xf numFmtId="14" fontId="119" fillId="68" borderId="0" xfId="0" applyNumberFormat="1" applyFont="1" applyFill="1" applyAlignment="1">
      <alignment horizontal="center" wrapText="1"/>
    </xf>
    <xf numFmtId="167" fontId="113" fillId="0" borderId="0" xfId="0" applyNumberFormat="1" applyFont="1"/>
    <xf numFmtId="0" fontId="113" fillId="52" borderId="41" xfId="0" applyFont="1" applyFill="1" applyBorder="1"/>
    <xf numFmtId="0" fontId="113" fillId="0" borderId="69" xfId="0" applyFont="1" applyBorder="1"/>
    <xf numFmtId="0" fontId="113" fillId="0" borderId="19" xfId="0" applyFont="1" applyBorder="1"/>
    <xf numFmtId="0" fontId="113" fillId="0" borderId="123" xfId="0" applyFont="1" applyBorder="1"/>
    <xf numFmtId="0" fontId="127" fillId="50" borderId="25" xfId="0" applyFont="1" applyFill="1" applyBorder="1"/>
    <xf numFmtId="0" fontId="140" fillId="50" borderId="191" xfId="0" applyFont="1" applyFill="1" applyBorder="1"/>
    <xf numFmtId="0" fontId="113" fillId="0" borderId="130" xfId="0" applyFont="1" applyBorder="1"/>
    <xf numFmtId="0" fontId="140" fillId="50" borderId="20" xfId="0" applyFont="1" applyFill="1" applyBorder="1"/>
    <xf numFmtId="219" fontId="128" fillId="0" borderId="77" xfId="0" applyNumberFormat="1" applyFont="1" applyBorder="1" applyAlignment="1">
      <alignment horizontal="left"/>
    </xf>
    <xf numFmtId="0" fontId="113" fillId="52" borderId="38" xfId="0" applyFont="1" applyFill="1" applyBorder="1" applyAlignment="1">
      <alignment horizontal="center"/>
    </xf>
    <xf numFmtId="0" fontId="113" fillId="52" borderId="42" xfId="0" applyFont="1" applyFill="1" applyBorder="1" applyAlignment="1">
      <alignment horizontal="center"/>
    </xf>
    <xf numFmtId="0" fontId="113" fillId="52" borderId="26" xfId="0" applyFont="1" applyFill="1" applyBorder="1"/>
    <xf numFmtId="0" fontId="113" fillId="0" borderId="142" xfId="0" applyFont="1" applyBorder="1"/>
    <xf numFmtId="0" fontId="140" fillId="50" borderId="142" xfId="0" applyFont="1" applyFill="1" applyBorder="1"/>
    <xf numFmtId="0" fontId="114" fillId="0" borderId="0" xfId="0" applyFont="1"/>
    <xf numFmtId="0" fontId="110" fillId="0" borderId="189" xfId="0" applyFont="1" applyBorder="1"/>
    <xf numFmtId="0" fontId="113" fillId="0" borderId="24" xfId="0" applyFont="1" applyBorder="1"/>
    <xf numFmtId="0" fontId="114" fillId="50" borderId="191" xfId="0" applyFont="1" applyFill="1" applyBorder="1"/>
    <xf numFmtId="0" fontId="114" fillId="50" borderId="113" xfId="0" applyFont="1" applyFill="1" applyBorder="1"/>
    <xf numFmtId="0" fontId="114" fillId="50" borderId="189" xfId="0" applyFont="1" applyFill="1" applyBorder="1"/>
    <xf numFmtId="0" fontId="114" fillId="50" borderId="190" xfId="0" applyFont="1" applyFill="1" applyBorder="1"/>
    <xf numFmtId="165" fontId="110" fillId="70" borderId="112" xfId="0" applyNumberFormat="1" applyFont="1" applyFill="1" applyBorder="1"/>
    <xf numFmtId="212" fontId="110" fillId="70" borderId="190" xfId="0" applyNumberFormat="1" applyFont="1" applyFill="1" applyBorder="1"/>
    <xf numFmtId="0" fontId="140" fillId="50" borderId="191" xfId="0" applyFont="1" applyFill="1" applyBorder="1" applyAlignment="1">
      <alignment vertical="center"/>
    </xf>
    <xf numFmtId="0" fontId="113" fillId="0" borderId="0" xfId="0" applyFont="1" applyAlignment="1">
      <alignment vertical="center"/>
    </xf>
    <xf numFmtId="0" fontId="113" fillId="0" borderId="123" xfId="0" applyFont="1" applyBorder="1" applyAlignment="1">
      <alignment vertical="center"/>
    </xf>
    <xf numFmtId="171" fontId="122" fillId="70" borderId="124" xfId="0" applyNumberFormat="1" applyFont="1" applyFill="1" applyBorder="1" applyAlignment="1">
      <alignment vertical="center"/>
    </xf>
    <xf numFmtId="9" fontId="122" fillId="70" borderId="124" xfId="225" applyFont="1" applyFill="1" applyBorder="1" applyAlignment="1" applyProtection="1">
      <alignment vertical="center"/>
    </xf>
    <xf numFmtId="9" fontId="122" fillId="70" borderId="127" xfId="225" applyFont="1" applyFill="1" applyBorder="1" applyAlignment="1" applyProtection="1">
      <alignment vertical="center"/>
    </xf>
    <xf numFmtId="2" fontId="122" fillId="50" borderId="113" xfId="0" applyNumberFormat="1" applyFont="1" applyFill="1" applyBorder="1" applyAlignment="1">
      <alignment vertical="center"/>
    </xf>
    <xf numFmtId="0" fontId="110" fillId="70" borderId="112" xfId="0" applyFont="1" applyFill="1" applyBorder="1"/>
    <xf numFmtId="0" fontId="113" fillId="0" borderId="0" xfId="0" applyFont="1" applyAlignment="1">
      <alignment horizontal="center"/>
    </xf>
    <xf numFmtId="2" fontId="132" fillId="29" borderId="13" xfId="0" applyNumberFormat="1" applyFont="1" applyFill="1" applyBorder="1" applyAlignment="1">
      <alignment horizontal="right" vertical="center"/>
    </xf>
    <xf numFmtId="0" fontId="131" fillId="29" borderId="65" xfId="0" applyFont="1" applyFill="1" applyBorder="1" applyAlignment="1">
      <alignment vertical="center" wrapText="1"/>
    </xf>
    <xf numFmtId="0" fontId="131" fillId="29" borderId="13" xfId="0" applyFont="1" applyFill="1" applyBorder="1" applyAlignment="1">
      <alignment vertical="center"/>
    </xf>
    <xf numFmtId="213" fontId="131" fillId="29" borderId="14" xfId="0" applyNumberFormat="1" applyFont="1" applyFill="1" applyBorder="1" applyAlignment="1">
      <alignment vertical="center"/>
    </xf>
    <xf numFmtId="2" fontId="131" fillId="29" borderId="13" xfId="0" applyNumberFormat="1" applyFont="1" applyFill="1" applyBorder="1" applyAlignment="1">
      <alignment vertical="center"/>
    </xf>
    <xf numFmtId="217" fontId="132" fillId="29" borderId="14" xfId="0" applyNumberFormat="1" applyFont="1" applyFill="1" applyBorder="1" applyAlignment="1">
      <alignment vertical="center"/>
    </xf>
    <xf numFmtId="1" fontId="131" fillId="29" borderId="13" xfId="0" applyNumberFormat="1" applyFont="1" applyFill="1" applyBorder="1" applyAlignment="1">
      <alignment vertical="center"/>
    </xf>
    <xf numFmtId="217" fontId="132" fillId="29" borderId="48" xfId="0" applyNumberFormat="1" applyFont="1" applyFill="1" applyBorder="1" applyAlignment="1">
      <alignment vertical="center"/>
    </xf>
    <xf numFmtId="1" fontId="131" fillId="29" borderId="188" xfId="0" applyNumberFormat="1" applyFont="1" applyFill="1" applyBorder="1" applyAlignment="1">
      <alignment vertical="center"/>
    </xf>
    <xf numFmtId="0" fontId="131" fillId="29" borderId="47" xfId="0" applyFont="1" applyFill="1" applyBorder="1" applyAlignment="1">
      <alignment vertical="center"/>
    </xf>
    <xf numFmtId="212" fontId="131" fillId="29" borderId="47" xfId="0" applyNumberFormat="1" applyFont="1" applyFill="1" applyBorder="1" applyAlignment="1">
      <alignment vertical="center"/>
    </xf>
    <xf numFmtId="0" fontId="131" fillId="29" borderId="14" xfId="0" applyFont="1" applyFill="1" applyBorder="1" applyAlignment="1">
      <alignment vertical="center"/>
    </xf>
    <xf numFmtId="0" fontId="131" fillId="29" borderId="14" xfId="0" applyFont="1" applyFill="1" applyBorder="1" applyAlignment="1">
      <alignment horizontal="left" vertical="center"/>
    </xf>
    <xf numFmtId="2" fontId="131" fillId="0" borderId="185" xfId="0" applyNumberFormat="1" applyFont="1" applyBorder="1" applyAlignment="1">
      <alignment horizontal="right" vertical="center"/>
    </xf>
    <xf numFmtId="0" fontId="131" fillId="0" borderId="184" xfId="0" applyFont="1" applyBorder="1" applyAlignment="1">
      <alignment vertical="center" wrapText="1"/>
    </xf>
    <xf numFmtId="0" fontId="131" fillId="0" borderId="185" xfId="0" applyFont="1" applyBorder="1" applyAlignment="1">
      <alignment vertical="center"/>
    </xf>
    <xf numFmtId="4" fontId="131" fillId="0" borderId="186" xfId="0" applyNumberFormat="1" applyFont="1" applyBorder="1" applyAlignment="1">
      <alignment vertical="center"/>
    </xf>
    <xf numFmtId="2" fontId="131" fillId="0" borderId="185" xfId="0" applyNumberFormat="1" applyFont="1" applyBorder="1" applyAlignment="1" applyProtection="1">
      <alignment vertical="center"/>
      <protection locked="0"/>
    </xf>
    <xf numFmtId="166" fontId="131" fillId="0" borderId="186" xfId="0" applyNumberFormat="1" applyFont="1" applyBorder="1" applyAlignment="1">
      <alignment vertical="center"/>
    </xf>
    <xf numFmtId="1" fontId="131" fillId="0" borderId="185" xfId="0" applyNumberFormat="1" applyFont="1" applyBorder="1" applyAlignment="1" applyProtection="1">
      <alignment vertical="center"/>
      <protection locked="0"/>
    </xf>
    <xf numFmtId="216" fontId="131" fillId="0" borderId="181" xfId="0" applyNumberFormat="1" applyFont="1" applyBorder="1" applyAlignment="1">
      <alignment vertical="center"/>
    </xf>
    <xf numFmtId="1" fontId="131" fillId="0" borderId="191" xfId="0" applyNumberFormat="1" applyFont="1" applyBorder="1" applyAlignment="1" applyProtection="1">
      <alignment vertical="center"/>
      <protection locked="0"/>
    </xf>
    <xf numFmtId="210" fontId="131" fillId="0" borderId="178" xfId="0" applyNumberFormat="1" applyFont="1" applyBorder="1" applyAlignment="1" applyProtection="1">
      <alignment vertical="center"/>
      <protection locked="0"/>
    </xf>
    <xf numFmtId="212" fontId="131" fillId="0" borderId="178" xfId="0" applyNumberFormat="1" applyFont="1" applyBorder="1" applyAlignment="1" applyProtection="1">
      <alignment vertical="center"/>
      <protection locked="0"/>
    </xf>
    <xf numFmtId="49" fontId="131" fillId="0" borderId="186" xfId="0" applyNumberFormat="1" applyFont="1" applyBorder="1" applyAlignment="1" applyProtection="1">
      <alignment vertical="center"/>
      <protection locked="0"/>
    </xf>
    <xf numFmtId="210" fontId="131" fillId="0" borderId="185" xfId="0" applyNumberFormat="1" applyFont="1" applyBorder="1" applyAlignment="1" applyProtection="1">
      <alignment vertical="center"/>
      <protection locked="0"/>
    </xf>
    <xf numFmtId="166" fontId="131" fillId="0" borderId="186" xfId="0" applyNumberFormat="1" applyFont="1" applyBorder="1" applyAlignment="1" applyProtection="1">
      <alignment vertical="center"/>
      <protection locked="0"/>
    </xf>
    <xf numFmtId="0" fontId="131" fillId="0" borderId="186" xfId="0" applyFont="1" applyBorder="1" applyAlignment="1" applyProtection="1">
      <alignment horizontal="left" vertical="center"/>
      <protection locked="0"/>
    </xf>
    <xf numFmtId="2" fontId="132" fillId="29" borderId="185" xfId="0" applyNumberFormat="1" applyFont="1" applyFill="1" applyBorder="1" applyAlignment="1">
      <alignment horizontal="right" vertical="center"/>
    </xf>
    <xf numFmtId="0" fontId="132" fillId="29" borderId="184" xfId="0" applyFont="1" applyFill="1" applyBorder="1" applyAlignment="1">
      <alignment vertical="center" wrapText="1"/>
    </xf>
    <xf numFmtId="0" fontId="132" fillId="29" borderId="191" xfId="0" applyFont="1" applyFill="1" applyBorder="1" applyAlignment="1">
      <alignment vertical="center" wrapText="1"/>
    </xf>
    <xf numFmtId="4" fontId="132" fillId="29" borderId="186" xfId="0" applyNumberFormat="1" applyFont="1" applyFill="1" applyBorder="1" applyAlignment="1">
      <alignment vertical="center" wrapText="1"/>
    </xf>
    <xf numFmtId="2" fontId="132" fillId="29" borderId="185" xfId="0" applyNumberFormat="1" applyFont="1" applyFill="1" applyBorder="1" applyAlignment="1" applyProtection="1">
      <alignment vertical="center" wrapText="1"/>
      <protection locked="0"/>
    </xf>
    <xf numFmtId="217" fontId="132" fillId="29" borderId="186" xfId="0" applyNumberFormat="1" applyFont="1" applyFill="1" applyBorder="1" applyAlignment="1">
      <alignment vertical="center" wrapText="1"/>
    </xf>
    <xf numFmtId="1" fontId="132" fillId="29" borderId="185" xfId="0" applyNumberFormat="1" applyFont="1" applyFill="1" applyBorder="1" applyAlignment="1">
      <alignment vertical="center" wrapText="1"/>
    </xf>
    <xf numFmtId="0" fontId="132" fillId="29" borderId="181" xfId="0" applyFont="1" applyFill="1" applyBorder="1" applyAlignment="1">
      <alignment vertical="center" wrapText="1"/>
    </xf>
    <xf numFmtId="1" fontId="132" fillId="29" borderId="181" xfId="0" applyNumberFormat="1" applyFont="1" applyFill="1" applyBorder="1" applyAlignment="1">
      <alignment vertical="center" wrapText="1"/>
    </xf>
    <xf numFmtId="0" fontId="132" fillId="29" borderId="178" xfId="0" applyFont="1" applyFill="1" applyBorder="1" applyAlignment="1">
      <alignment vertical="center" wrapText="1"/>
    </xf>
    <xf numFmtId="212" fontId="132" fillId="29" borderId="178" xfId="0" applyNumberFormat="1" applyFont="1" applyFill="1" applyBorder="1" applyAlignment="1">
      <alignment vertical="center" wrapText="1"/>
    </xf>
    <xf numFmtId="0" fontId="132" fillId="29" borderId="186" xfId="0" applyFont="1" applyFill="1" applyBorder="1" applyAlignment="1">
      <alignment vertical="center" wrapText="1"/>
    </xf>
    <xf numFmtId="0" fontId="132" fillId="29" borderId="186" xfId="0" applyFont="1" applyFill="1" applyBorder="1" applyAlignment="1">
      <alignment horizontal="left" vertical="center" wrapText="1"/>
    </xf>
    <xf numFmtId="0" fontId="131" fillId="0" borderId="191" xfId="0" applyFont="1" applyBorder="1" applyAlignment="1">
      <alignment vertical="center"/>
    </xf>
    <xf numFmtId="210" fontId="131" fillId="49" borderId="185" xfId="0" applyNumberFormat="1" applyFont="1" applyFill="1" applyBorder="1" applyAlignment="1">
      <alignment vertical="center"/>
    </xf>
    <xf numFmtId="166" fontId="131" fillId="49" borderId="186" xfId="0" applyNumberFormat="1" applyFont="1" applyFill="1" applyBorder="1" applyAlignment="1">
      <alignment vertical="center"/>
    </xf>
    <xf numFmtId="210" fontId="131" fillId="49" borderId="186" xfId="0" applyNumberFormat="1" applyFont="1" applyFill="1" applyBorder="1" applyAlignment="1">
      <alignment vertical="center"/>
    </xf>
    <xf numFmtId="210" fontId="131" fillId="49" borderId="191" xfId="0" applyNumberFormat="1" applyFont="1" applyFill="1" applyBorder="1" applyAlignment="1">
      <alignment vertical="center"/>
    </xf>
    <xf numFmtId="210" fontId="131" fillId="0" borderId="178" xfId="0" applyNumberFormat="1" applyFont="1" applyBorder="1" applyAlignment="1">
      <alignment vertical="center"/>
    </xf>
    <xf numFmtId="212" fontId="131" fillId="0" borderId="178" xfId="0" applyNumberFormat="1" applyFont="1" applyBorder="1" applyAlignment="1">
      <alignment vertical="center"/>
    </xf>
    <xf numFmtId="2" fontId="110" fillId="0" borderId="185" xfId="0" applyNumberFormat="1" applyFont="1" applyBorder="1" applyAlignment="1" applyProtection="1">
      <alignment vertical="center"/>
      <protection locked="0"/>
    </xf>
    <xf numFmtId="210" fontId="110" fillId="49" borderId="185" xfId="0" applyNumberFormat="1" applyFont="1" applyFill="1" applyBorder="1" applyAlignment="1">
      <alignment vertical="center"/>
    </xf>
    <xf numFmtId="166" fontId="110" fillId="49" borderId="186" xfId="0" applyNumberFormat="1" applyFont="1" applyFill="1" applyBorder="1" applyAlignment="1">
      <alignment vertical="center"/>
    </xf>
    <xf numFmtId="210" fontId="110" fillId="49" borderId="186" xfId="0" applyNumberFormat="1" applyFont="1" applyFill="1" applyBorder="1" applyAlignment="1">
      <alignment vertical="center"/>
    </xf>
    <xf numFmtId="210" fontId="110" fillId="49" borderId="191" xfId="0" applyNumberFormat="1" applyFont="1" applyFill="1" applyBorder="1" applyAlignment="1">
      <alignment vertical="center"/>
    </xf>
    <xf numFmtId="210" fontId="110" fillId="0" borderId="185" xfId="0" applyNumberFormat="1" applyFont="1" applyBorder="1" applyAlignment="1" applyProtection="1">
      <alignment vertical="center"/>
      <protection locked="0"/>
    </xf>
    <xf numFmtId="49" fontId="110" fillId="0" borderId="186" xfId="0" applyNumberFormat="1" applyFont="1" applyBorder="1" applyAlignment="1" applyProtection="1">
      <alignment vertical="center"/>
      <protection locked="0"/>
    </xf>
    <xf numFmtId="2" fontId="132" fillId="62" borderId="185" xfId="0" applyNumberFormat="1" applyFont="1" applyFill="1" applyBorder="1" applyAlignment="1">
      <alignment horizontal="right" vertical="center"/>
    </xf>
    <xf numFmtId="0" fontId="132" fillId="62" borderId="184" xfId="0" applyFont="1" applyFill="1" applyBorder="1" applyAlignment="1">
      <alignment vertical="center" wrapText="1"/>
    </xf>
    <xf numFmtId="0" fontId="131" fillId="62" borderId="191" xfId="0" applyFont="1" applyFill="1" applyBorder="1" applyAlignment="1">
      <alignment vertical="center"/>
    </xf>
    <xf numFmtId="4" fontId="131" fillId="62" borderId="186" xfId="0" applyNumberFormat="1" applyFont="1" applyFill="1" applyBorder="1" applyAlignment="1">
      <alignment vertical="center"/>
    </xf>
    <xf numFmtId="2" fontId="132" fillId="29" borderId="185" xfId="0" applyNumberFormat="1" applyFont="1" applyFill="1" applyBorder="1" applyAlignment="1" applyProtection="1">
      <alignment vertical="center"/>
      <protection locked="0"/>
    </xf>
    <xf numFmtId="217" fontId="132" fillId="29" borderId="186" xfId="0" applyNumberFormat="1" applyFont="1" applyFill="1" applyBorder="1" applyAlignment="1">
      <alignment vertical="center"/>
    </xf>
    <xf numFmtId="210" fontId="132" fillId="29" borderId="185" xfId="0" applyNumberFormat="1" applyFont="1" applyFill="1" applyBorder="1" applyAlignment="1">
      <alignment vertical="center"/>
    </xf>
    <xf numFmtId="0" fontId="132" fillId="29" borderId="186" xfId="0" applyFont="1" applyFill="1" applyBorder="1" applyAlignment="1">
      <alignment vertical="center"/>
    </xf>
    <xf numFmtId="210" fontId="132" fillId="29" borderId="186" xfId="0" applyNumberFormat="1" applyFont="1" applyFill="1" applyBorder="1" applyAlignment="1">
      <alignment vertical="center"/>
    </xf>
    <xf numFmtId="210" fontId="132" fillId="29" borderId="191" xfId="0" applyNumberFormat="1" applyFont="1" applyFill="1" applyBorder="1" applyAlignment="1">
      <alignment vertical="center"/>
    </xf>
    <xf numFmtId="210" fontId="132" fillId="29" borderId="185" xfId="0" applyNumberFormat="1" applyFont="1" applyFill="1" applyBorder="1" applyAlignment="1" applyProtection="1">
      <alignment vertical="center"/>
      <protection locked="0"/>
    </xf>
    <xf numFmtId="0" fontId="132" fillId="29" borderId="178" xfId="0" applyFont="1" applyFill="1" applyBorder="1" applyAlignment="1">
      <alignment vertical="center"/>
    </xf>
    <xf numFmtId="212" fontId="132" fillId="29" borderId="178" xfId="0" applyNumberFormat="1" applyFont="1" applyFill="1" applyBorder="1" applyAlignment="1">
      <alignment vertical="center"/>
    </xf>
    <xf numFmtId="49" fontId="132" fillId="29" borderId="186" xfId="0" applyNumberFormat="1" applyFont="1" applyFill="1" applyBorder="1" applyAlignment="1" applyProtection="1">
      <alignment vertical="center"/>
      <protection locked="0"/>
    </xf>
    <xf numFmtId="210" fontId="131" fillId="57" borderId="178" xfId="0" applyNumberFormat="1" applyFont="1" applyFill="1" applyBorder="1" applyAlignment="1">
      <alignment vertical="center"/>
    </xf>
    <xf numFmtId="212" fontId="131" fillId="57" borderId="178" xfId="0" applyNumberFormat="1" applyFont="1" applyFill="1" applyBorder="1" applyAlignment="1">
      <alignment vertical="center"/>
    </xf>
    <xf numFmtId="49" fontId="131" fillId="57" borderId="186" xfId="0" applyNumberFormat="1" applyFont="1" applyFill="1" applyBorder="1" applyAlignment="1" applyProtection="1">
      <alignment vertical="center"/>
      <protection locked="0"/>
    </xf>
    <xf numFmtId="210" fontId="131" fillId="57" borderId="185" xfId="0" applyNumberFormat="1" applyFont="1" applyFill="1" applyBorder="1" applyAlignment="1" applyProtection="1">
      <alignment vertical="center"/>
      <protection locked="0"/>
    </xf>
    <xf numFmtId="166" fontId="131" fillId="57" borderId="186" xfId="0" applyNumberFormat="1" applyFont="1" applyFill="1" applyBorder="1" applyAlignment="1" applyProtection="1">
      <alignment vertical="center"/>
      <protection locked="0"/>
    </xf>
    <xf numFmtId="210" fontId="131" fillId="57" borderId="178" xfId="0" applyNumberFormat="1" applyFont="1" applyFill="1" applyBorder="1" applyAlignment="1" applyProtection="1">
      <alignment vertical="center"/>
      <protection locked="0"/>
    </xf>
    <xf numFmtId="0" fontId="131" fillId="57" borderId="186" xfId="0" applyFont="1" applyFill="1" applyBorder="1" applyAlignment="1" applyProtection="1">
      <alignment horizontal="left" vertical="center"/>
      <protection locked="0"/>
    </xf>
    <xf numFmtId="2" fontId="131" fillId="49" borderId="185" xfId="0" applyNumberFormat="1" applyFont="1" applyFill="1" applyBorder="1" applyAlignment="1">
      <alignment vertical="center"/>
    </xf>
    <xf numFmtId="49" fontId="132" fillId="0" borderId="186" xfId="0" applyNumberFormat="1" applyFont="1" applyBorder="1" applyAlignment="1" applyProtection="1">
      <alignment vertical="center"/>
      <protection locked="0"/>
    </xf>
    <xf numFmtId="0" fontId="132" fillId="62" borderId="191" xfId="0" applyFont="1" applyFill="1" applyBorder="1" applyAlignment="1">
      <alignment vertical="center"/>
    </xf>
    <xf numFmtId="4" fontId="132" fillId="62" borderId="186" xfId="0" applyNumberFormat="1" applyFont="1" applyFill="1" applyBorder="1" applyAlignment="1">
      <alignment vertical="center"/>
    </xf>
    <xf numFmtId="214" fontId="131" fillId="0" borderId="185" xfId="0" applyNumberFormat="1" applyFont="1" applyBorder="1" applyAlignment="1" applyProtection="1">
      <alignment vertical="center"/>
      <protection locked="0"/>
    </xf>
    <xf numFmtId="214" fontId="131" fillId="49" borderId="185" xfId="0" applyNumberFormat="1" applyFont="1" applyFill="1" applyBorder="1" applyAlignment="1">
      <alignment vertical="center"/>
    </xf>
    <xf numFmtId="214" fontId="131" fillId="49" borderId="186" xfId="0" applyNumberFormat="1" applyFont="1" applyFill="1" applyBorder="1" applyAlignment="1">
      <alignment vertical="center"/>
    </xf>
    <xf numFmtId="214" fontId="131" fillId="49" borderId="191" xfId="0" applyNumberFormat="1" applyFont="1" applyFill="1" applyBorder="1" applyAlignment="1">
      <alignment vertical="center"/>
    </xf>
    <xf numFmtId="214" fontId="131" fillId="48" borderId="185" xfId="0" applyNumberFormat="1" applyFont="1" applyFill="1" applyBorder="1" applyAlignment="1">
      <alignment vertical="center"/>
    </xf>
    <xf numFmtId="214" fontId="110" fillId="48" borderId="185" xfId="0" applyNumberFormat="1" applyFont="1" applyFill="1" applyBorder="1" applyAlignment="1">
      <alignment vertical="center"/>
    </xf>
    <xf numFmtId="2" fontId="131" fillId="48" borderId="185" xfId="0" applyNumberFormat="1" applyFont="1" applyFill="1" applyBorder="1" applyAlignment="1">
      <alignment vertical="center"/>
    </xf>
    <xf numFmtId="4" fontId="131" fillId="50" borderId="186" xfId="0" applyNumberFormat="1" applyFont="1" applyFill="1" applyBorder="1" applyAlignment="1" applyProtection="1">
      <alignment vertical="center"/>
      <protection locked="0"/>
    </xf>
    <xf numFmtId="2" fontId="131" fillId="29" borderId="185" xfId="0" applyNumberFormat="1" applyFont="1" applyFill="1" applyBorder="1" applyAlignment="1">
      <alignment vertical="center"/>
    </xf>
    <xf numFmtId="166" fontId="131" fillId="29" borderId="186" xfId="0" applyNumberFormat="1" applyFont="1" applyFill="1" applyBorder="1" applyAlignment="1">
      <alignment vertical="center"/>
    </xf>
    <xf numFmtId="210" fontId="131" fillId="29" borderId="185" xfId="0" applyNumberFormat="1" applyFont="1" applyFill="1" applyBorder="1" applyAlignment="1">
      <alignment vertical="center"/>
    </xf>
    <xf numFmtId="210" fontId="131" fillId="29" borderId="186" xfId="0" applyNumberFormat="1" applyFont="1" applyFill="1" applyBorder="1" applyAlignment="1">
      <alignment vertical="center"/>
    </xf>
    <xf numFmtId="210" fontId="131" fillId="29" borderId="191" xfId="0" applyNumberFormat="1" applyFont="1" applyFill="1" applyBorder="1" applyAlignment="1">
      <alignment vertical="center"/>
    </xf>
    <xf numFmtId="210" fontId="131" fillId="29" borderId="185" xfId="0" applyNumberFormat="1" applyFont="1" applyFill="1" applyBorder="1" applyAlignment="1" applyProtection="1">
      <alignment vertical="center"/>
      <protection locked="0"/>
    </xf>
    <xf numFmtId="0" fontId="131" fillId="29" borderId="178" xfId="0" applyFont="1" applyFill="1" applyBorder="1" applyAlignment="1">
      <alignment vertical="center"/>
    </xf>
    <xf numFmtId="212" fontId="131" fillId="29" borderId="178" xfId="0" applyNumberFormat="1" applyFont="1" applyFill="1" applyBorder="1" applyAlignment="1">
      <alignment vertical="center"/>
    </xf>
    <xf numFmtId="49" fontId="131" fillId="29" borderId="186" xfId="0" applyNumberFormat="1" applyFont="1" applyFill="1" applyBorder="1" applyAlignment="1" applyProtection="1">
      <alignment vertical="center"/>
      <protection locked="0"/>
    </xf>
    <xf numFmtId="214" fontId="131" fillId="48" borderId="185" xfId="0" applyNumberFormat="1" applyFont="1" applyFill="1" applyBorder="1" applyAlignment="1" applyProtection="1">
      <alignment vertical="center"/>
      <protection locked="0"/>
    </xf>
    <xf numFmtId="2" fontId="132" fillId="29" borderId="185" xfId="0" applyNumberFormat="1" applyFont="1" applyFill="1" applyBorder="1" applyAlignment="1">
      <alignment vertical="center"/>
    </xf>
    <xf numFmtId="2" fontId="131" fillId="48" borderId="185" xfId="0" applyNumberFormat="1" applyFont="1" applyFill="1" applyBorder="1" applyAlignment="1" applyProtection="1">
      <alignment vertical="center"/>
      <protection locked="0"/>
    </xf>
    <xf numFmtId="2" fontId="131" fillId="49" borderId="185" xfId="0" applyNumberFormat="1" applyFont="1" applyFill="1" applyBorder="1" applyAlignment="1" applyProtection="1">
      <alignment vertical="center"/>
      <protection locked="0"/>
    </xf>
    <xf numFmtId="2" fontId="131" fillId="0" borderId="185" xfId="0" applyNumberFormat="1" applyFont="1" applyBorder="1" applyAlignment="1" applyProtection="1">
      <alignment horizontal="right" vertical="center"/>
      <protection locked="0"/>
    </xf>
    <xf numFmtId="210" fontId="131" fillId="49" borderId="185" xfId="0" applyNumberFormat="1" applyFont="1" applyFill="1" applyBorder="1" applyAlignment="1">
      <alignment horizontal="right" vertical="center"/>
    </xf>
    <xf numFmtId="166" fontId="131" fillId="49" borderId="186" xfId="0" applyNumberFormat="1" applyFont="1" applyFill="1" applyBorder="1" applyAlignment="1">
      <alignment horizontal="right" vertical="center"/>
    </xf>
    <xf numFmtId="214" fontId="131" fillId="49" borderId="185" xfId="0" applyNumberFormat="1" applyFont="1" applyFill="1" applyBorder="1" applyAlignment="1">
      <alignment horizontal="right" vertical="center"/>
    </xf>
    <xf numFmtId="214" fontId="131" fillId="49" borderId="186" xfId="0" applyNumberFormat="1" applyFont="1" applyFill="1" applyBorder="1" applyAlignment="1">
      <alignment horizontal="right" vertical="center"/>
    </xf>
    <xf numFmtId="214" fontId="131" fillId="49" borderId="191" xfId="0" applyNumberFormat="1" applyFont="1" applyFill="1" applyBorder="1" applyAlignment="1">
      <alignment horizontal="right" vertical="center"/>
    </xf>
    <xf numFmtId="2" fontId="132" fillId="29" borderId="185" xfId="0" applyNumberFormat="1" applyFont="1" applyFill="1" applyBorder="1" applyAlignment="1" applyProtection="1">
      <alignment horizontal="left" vertical="center" wrapText="1"/>
      <protection locked="0"/>
    </xf>
    <xf numFmtId="210" fontId="132" fillId="29" borderId="185" xfId="0" applyNumberFormat="1" applyFont="1" applyFill="1" applyBorder="1" applyAlignment="1">
      <alignment horizontal="left" vertical="center" wrapText="1"/>
    </xf>
    <xf numFmtId="214" fontId="132" fillId="29" borderId="185" xfId="0" applyNumberFormat="1" applyFont="1" applyFill="1" applyBorder="1" applyAlignment="1">
      <alignment horizontal="left" vertical="center" wrapText="1"/>
    </xf>
    <xf numFmtId="214" fontId="132" fillId="29" borderId="186" xfId="0" applyNumberFormat="1" applyFont="1" applyFill="1" applyBorder="1" applyAlignment="1">
      <alignment horizontal="left" vertical="center" wrapText="1"/>
    </xf>
    <xf numFmtId="214" fontId="132" fillId="29" borderId="191" xfId="0" applyNumberFormat="1" applyFont="1" applyFill="1" applyBorder="1" applyAlignment="1">
      <alignment horizontal="left" vertical="center" wrapText="1"/>
    </xf>
    <xf numFmtId="217" fontId="132" fillId="29" borderId="186" xfId="0" applyNumberFormat="1" applyFont="1" applyFill="1" applyBorder="1" applyAlignment="1">
      <alignment horizontal="left" vertical="center" wrapText="1"/>
    </xf>
    <xf numFmtId="210" fontId="132" fillId="29" borderId="185" xfId="0" applyNumberFormat="1" applyFont="1" applyFill="1" applyBorder="1" applyAlignment="1" applyProtection="1">
      <alignment horizontal="left" vertical="center" wrapText="1"/>
      <protection locked="0"/>
    </xf>
    <xf numFmtId="0" fontId="132" fillId="29" borderId="178" xfId="0" applyFont="1" applyFill="1" applyBorder="1" applyAlignment="1">
      <alignment horizontal="left" vertical="center" wrapText="1"/>
    </xf>
    <xf numFmtId="212" fontId="132" fillId="29" borderId="178" xfId="0" applyNumberFormat="1" applyFont="1" applyFill="1" applyBorder="1" applyAlignment="1">
      <alignment horizontal="left" vertical="center" wrapText="1"/>
    </xf>
    <xf numFmtId="49" fontId="132" fillId="29" borderId="186" xfId="0" applyNumberFormat="1" applyFont="1" applyFill="1" applyBorder="1" applyAlignment="1" applyProtection="1">
      <alignment horizontal="left" vertical="center" wrapText="1"/>
      <protection locked="0"/>
    </xf>
    <xf numFmtId="214" fontId="131" fillId="0" borderId="191" xfId="0" applyNumberFormat="1" applyFont="1" applyBorder="1" applyAlignment="1" applyProtection="1">
      <alignment vertical="center"/>
      <protection locked="0"/>
    </xf>
    <xf numFmtId="210" fontId="131" fillId="0" borderId="185" xfId="0" applyNumberFormat="1" applyFont="1" applyBorder="1" applyAlignment="1" applyProtection="1">
      <alignment horizontal="right" vertical="center"/>
      <protection locked="0"/>
    </xf>
    <xf numFmtId="210" fontId="131" fillId="0" borderId="178" xfId="0" applyNumberFormat="1" applyFont="1" applyBorder="1" applyAlignment="1">
      <alignment horizontal="right" vertical="center"/>
    </xf>
    <xf numFmtId="212" fontId="131" fillId="0" borderId="178" xfId="0" applyNumberFormat="1" applyFont="1" applyBorder="1" applyAlignment="1">
      <alignment horizontal="right" vertical="center"/>
    </xf>
    <xf numFmtId="49" fontId="131" fillId="0" borderId="186" xfId="0" applyNumberFormat="1" applyFont="1" applyBorder="1" applyAlignment="1" applyProtection="1">
      <alignment horizontal="right" vertical="center"/>
      <protection locked="0"/>
    </xf>
    <xf numFmtId="214" fontId="132" fillId="29" borderId="185" xfId="0" applyNumberFormat="1" applyFont="1" applyFill="1" applyBorder="1" applyAlignment="1">
      <alignment vertical="center"/>
    </xf>
    <xf numFmtId="214" fontId="132" fillId="29" borderId="186" xfId="0" applyNumberFormat="1" applyFont="1" applyFill="1" applyBorder="1" applyAlignment="1">
      <alignment vertical="center"/>
    </xf>
    <xf numFmtId="214" fontId="132" fillId="29" borderId="191" xfId="0" applyNumberFormat="1" applyFont="1" applyFill="1" applyBorder="1" applyAlignment="1">
      <alignment vertical="center"/>
    </xf>
    <xf numFmtId="2" fontId="131" fillId="29" borderId="185" xfId="0" applyNumberFormat="1" applyFont="1" applyFill="1" applyBorder="1" applyAlignment="1" applyProtection="1">
      <alignment vertical="center"/>
      <protection locked="0"/>
    </xf>
    <xf numFmtId="214" fontId="131" fillId="33" borderId="185" xfId="0" applyNumberFormat="1" applyFont="1" applyFill="1" applyBorder="1" applyAlignment="1">
      <alignment vertical="center"/>
    </xf>
    <xf numFmtId="214" fontId="131" fillId="0" borderId="181" xfId="0" applyNumberFormat="1" applyFont="1" applyBorder="1" applyAlignment="1">
      <alignment vertical="center"/>
    </xf>
    <xf numFmtId="214" fontId="131" fillId="0" borderId="186" xfId="0" applyNumberFormat="1" applyFont="1" applyBorder="1" applyAlignment="1">
      <alignment vertical="center"/>
    </xf>
    <xf numFmtId="0" fontId="132" fillId="29" borderId="181" xfId="0" applyFont="1" applyFill="1" applyBorder="1" applyAlignment="1">
      <alignment vertical="center"/>
    </xf>
    <xf numFmtId="210" fontId="132" fillId="29" borderId="181" xfId="0" applyNumberFormat="1" applyFont="1" applyFill="1" applyBorder="1" applyAlignment="1">
      <alignment vertical="center"/>
    </xf>
    <xf numFmtId="0" fontId="131" fillId="50" borderId="184" xfId="0" applyFont="1" applyFill="1" applyBorder="1" applyAlignment="1" applyProtection="1">
      <alignment vertical="center" wrapText="1"/>
      <protection locked="0"/>
    </xf>
    <xf numFmtId="0" fontId="131" fillId="50" borderId="191" xfId="0" applyFont="1" applyFill="1" applyBorder="1" applyAlignment="1" applyProtection="1">
      <alignment vertical="center"/>
      <protection locked="0"/>
    </xf>
    <xf numFmtId="2" fontId="131" fillId="0" borderId="172" xfId="0" applyNumberFormat="1" applyFont="1" applyBorder="1" applyAlignment="1">
      <alignment horizontal="right" vertical="center"/>
    </xf>
    <xf numFmtId="0" fontId="131" fillId="0" borderId="176" xfId="0" applyFont="1" applyBorder="1" applyAlignment="1">
      <alignment vertical="center" wrapText="1"/>
    </xf>
    <xf numFmtId="210" fontId="131" fillId="49" borderId="172" xfId="0" applyNumberFormat="1" applyFont="1" applyFill="1" applyBorder="1" applyAlignment="1">
      <alignment vertical="center"/>
    </xf>
    <xf numFmtId="166" fontId="131" fillId="49" borderId="174" xfId="0" applyNumberFormat="1" applyFont="1" applyFill="1" applyBorder="1" applyAlignment="1">
      <alignment vertical="center"/>
    </xf>
    <xf numFmtId="210" fontId="131" fillId="49" borderId="174" xfId="0" applyNumberFormat="1" applyFont="1" applyFill="1" applyBorder="1" applyAlignment="1">
      <alignment vertical="center"/>
    </xf>
    <xf numFmtId="167" fontId="141" fillId="0" borderId="0" xfId="86" applyFont="1" applyFill="1" applyBorder="1" applyAlignment="1" applyProtection="1">
      <alignment vertical="center"/>
      <protection locked="0"/>
    </xf>
    <xf numFmtId="167" fontId="141" fillId="0" borderId="17" xfId="86" applyFont="1" applyFill="1" applyBorder="1" applyAlignment="1" applyProtection="1">
      <alignment vertical="center"/>
    </xf>
    <xf numFmtId="167" fontId="141" fillId="0" borderId="17" xfId="86" applyFont="1" applyFill="1" applyBorder="1" applyAlignment="1" applyProtection="1">
      <alignment vertical="center" wrapText="1"/>
    </xf>
    <xf numFmtId="210" fontId="141" fillId="0" borderId="17" xfId="86" applyNumberFormat="1" applyFont="1" applyFill="1" applyBorder="1" applyAlignment="1" applyProtection="1">
      <alignment horizontal="center" vertical="center"/>
    </xf>
    <xf numFmtId="167" fontId="141" fillId="0" borderId="193" xfId="86" applyFont="1" applyFill="1" applyBorder="1" applyAlignment="1" applyProtection="1">
      <alignment vertical="center"/>
    </xf>
    <xf numFmtId="0" fontId="141" fillId="0" borderId="17" xfId="86" applyNumberFormat="1" applyFont="1" applyFill="1" applyBorder="1" applyAlignment="1" applyProtection="1">
      <alignment vertical="center"/>
    </xf>
    <xf numFmtId="212" fontId="141" fillId="0" borderId="193" xfId="86" applyNumberFormat="1" applyFont="1" applyFill="1" applyBorder="1" applyAlignment="1" applyProtection="1">
      <alignment vertical="center"/>
    </xf>
    <xf numFmtId="0" fontId="84" fillId="0" borderId="178" xfId="0" applyFont="1" applyBorder="1" applyAlignment="1" applyProtection="1">
      <alignment horizontal="center" vertical="center"/>
      <protection locked="0"/>
    </xf>
    <xf numFmtId="0" fontId="84" fillId="0" borderId="178" xfId="0" applyFont="1" applyBorder="1" applyAlignment="1" applyProtection="1">
      <alignment vertical="center"/>
      <protection locked="0"/>
    </xf>
    <xf numFmtId="0" fontId="113" fillId="52" borderId="29" xfId="0" applyFont="1" applyFill="1" applyBorder="1" applyAlignment="1">
      <alignment vertical="center"/>
    </xf>
    <xf numFmtId="0" fontId="113" fillId="0" borderId="188" xfId="0" applyFont="1" applyBorder="1" applyAlignment="1">
      <alignment vertical="center"/>
    </xf>
    <xf numFmtId="0" fontId="113" fillId="0" borderId="191" xfId="0" applyFont="1" applyBorder="1" applyAlignment="1">
      <alignment vertical="center"/>
    </xf>
    <xf numFmtId="0" fontId="113" fillId="0" borderId="191" xfId="0" applyFont="1" applyBorder="1" applyAlignment="1">
      <alignment vertical="center" wrapText="1"/>
    </xf>
    <xf numFmtId="0" fontId="113" fillId="0" borderId="142" xfId="0" applyFont="1" applyBorder="1" applyAlignment="1">
      <alignment vertical="center"/>
    </xf>
    <xf numFmtId="215" fontId="27" fillId="46" borderId="178" xfId="0" applyNumberFormat="1" applyFont="1" applyFill="1" applyBorder="1" applyProtection="1">
      <protection locked="0"/>
    </xf>
    <xf numFmtId="171" fontId="27" fillId="0" borderId="178" xfId="0" applyNumberFormat="1" applyFont="1" applyBorder="1" applyAlignment="1">
      <alignment horizontal="right"/>
    </xf>
    <xf numFmtId="0" fontId="27" fillId="71" borderId="178" xfId="0" applyFont="1" applyFill="1" applyBorder="1"/>
    <xf numFmtId="0" fontId="104" fillId="48" borderId="170" xfId="0" applyFont="1" applyFill="1" applyBorder="1" applyAlignment="1">
      <alignment horizontal="center"/>
    </xf>
    <xf numFmtId="0" fontId="113" fillId="0" borderId="190" xfId="0" applyFont="1" applyBorder="1" applyProtection="1">
      <protection locked="0"/>
    </xf>
    <xf numFmtId="0" fontId="143" fillId="72" borderId="26" xfId="0" applyFont="1" applyFill="1" applyBorder="1" applyAlignment="1">
      <alignment horizontal="center" vertical="center"/>
    </xf>
    <xf numFmtId="0" fontId="144" fillId="0" borderId="0" xfId="0" applyFont="1"/>
    <xf numFmtId="0" fontId="80" fillId="0" borderId="0" xfId="0" applyFont="1" applyAlignment="1">
      <alignment vertical="center" wrapText="1"/>
    </xf>
    <xf numFmtId="0" fontId="143" fillId="72" borderId="26" xfId="0" applyFont="1" applyFill="1" applyBorder="1" applyAlignment="1">
      <alignment horizontal="center" vertical="center" wrapText="1"/>
    </xf>
    <xf numFmtId="0" fontId="143" fillId="72" borderId="149" xfId="0" applyFont="1" applyFill="1" applyBorder="1" applyAlignment="1">
      <alignment horizontal="center" vertical="center"/>
    </xf>
    <xf numFmtId="0" fontId="143" fillId="72" borderId="196" xfId="0" applyFont="1" applyFill="1" applyBorder="1" applyAlignment="1">
      <alignment horizontal="center" vertical="center"/>
    </xf>
    <xf numFmtId="0" fontId="143" fillId="72" borderId="197" xfId="0" applyFont="1" applyFill="1" applyBorder="1" applyAlignment="1">
      <alignment horizontal="center" vertical="center"/>
    </xf>
    <xf numFmtId="0" fontId="143" fillId="72" borderId="150" xfId="0" applyFont="1" applyFill="1" applyBorder="1" applyAlignment="1">
      <alignment horizontal="center" vertical="center"/>
    </xf>
    <xf numFmtId="0" fontId="100" fillId="0" borderId="13" xfId="0" applyFont="1" applyBorder="1" applyAlignment="1">
      <alignment vertical="center"/>
    </xf>
    <xf numFmtId="0" fontId="100" fillId="0" borderId="47" xfId="0" applyFont="1" applyBorder="1" applyAlignment="1">
      <alignment vertical="center"/>
    </xf>
    <xf numFmtId="0" fontId="100" fillId="0" borderId="47" xfId="0" applyFont="1" applyBorder="1" applyAlignment="1">
      <alignment horizontal="center" vertical="center"/>
    </xf>
    <xf numFmtId="0" fontId="100" fillId="0" borderId="14" xfId="0" applyFont="1" applyBorder="1" applyAlignment="1">
      <alignment horizontal="center" vertical="center"/>
    </xf>
    <xf numFmtId="0" fontId="100" fillId="0" borderId="185" xfId="0" applyFont="1" applyBorder="1" applyAlignment="1">
      <alignment vertical="center"/>
    </xf>
    <xf numFmtId="0" fontId="100" fillId="0" borderId="178" xfId="0" applyFont="1" applyBorder="1" applyAlignment="1">
      <alignment vertical="center"/>
    </xf>
    <xf numFmtId="0" fontId="100" fillId="0" borderId="178" xfId="0" applyFont="1" applyBorder="1" applyAlignment="1">
      <alignment horizontal="center" vertical="center"/>
    </xf>
    <xf numFmtId="0" fontId="100" fillId="0" borderId="186" xfId="0" applyFont="1" applyBorder="1" applyAlignment="1">
      <alignment horizontal="center" vertical="center"/>
    </xf>
    <xf numFmtId="0" fontId="106" fillId="0" borderId="178" xfId="0" applyFont="1" applyBorder="1" applyAlignment="1">
      <alignment vertical="center"/>
    </xf>
    <xf numFmtId="0" fontId="100" fillId="0" borderId="172" xfId="0" applyFont="1" applyBorder="1" applyAlignment="1">
      <alignment vertical="center"/>
    </xf>
    <xf numFmtId="0" fontId="100" fillId="0" borderId="173" xfId="0" applyFont="1" applyBorder="1" applyAlignment="1">
      <alignment vertical="center"/>
    </xf>
    <xf numFmtId="0" fontId="100" fillId="0" borderId="173" xfId="0" applyFont="1" applyBorder="1" applyAlignment="1">
      <alignment horizontal="center" vertical="center"/>
    </xf>
    <xf numFmtId="0" fontId="100" fillId="0" borderId="174" xfId="0" applyFont="1" applyBorder="1" applyAlignment="1">
      <alignment horizontal="center" vertical="center"/>
    </xf>
    <xf numFmtId="0" fontId="100" fillId="0" borderId="20" xfId="0" applyFont="1" applyBorder="1" applyAlignment="1">
      <alignment vertical="center"/>
    </xf>
    <xf numFmtId="0" fontId="106" fillId="0" borderId="0" xfId="0" applyFont="1" applyAlignment="1">
      <alignment vertical="center"/>
    </xf>
    <xf numFmtId="0" fontId="100" fillId="0" borderId="0" xfId="0" applyFont="1" applyAlignment="1">
      <alignment horizontal="center" vertical="center"/>
    </xf>
    <xf numFmtId="0" fontId="143" fillId="72" borderId="41" xfId="0" applyFont="1" applyFill="1" applyBorder="1" applyAlignment="1">
      <alignment horizontal="center" vertical="center"/>
    </xf>
    <xf numFmtId="0" fontId="143" fillId="72" borderId="38" xfId="0" applyFont="1" applyFill="1" applyBorder="1" applyAlignment="1">
      <alignment horizontal="center" vertical="center"/>
    </xf>
    <xf numFmtId="0" fontId="143" fillId="72" borderId="192" xfId="0" applyFont="1" applyFill="1" applyBorder="1" applyAlignment="1">
      <alignment horizontal="center" vertical="center"/>
    </xf>
    <xf numFmtId="0" fontId="143" fillId="72" borderId="42" xfId="0" applyFont="1" applyFill="1" applyBorder="1" applyAlignment="1">
      <alignment horizontal="center" vertical="center"/>
    </xf>
    <xf numFmtId="0" fontId="100" fillId="0" borderId="69" xfId="0" applyFont="1" applyBorder="1" applyAlignment="1">
      <alignment vertical="center"/>
    </xf>
    <xf numFmtId="0" fontId="100" fillId="0" borderId="71" xfId="0" applyFont="1" applyBorder="1" applyAlignment="1">
      <alignment vertical="center"/>
    </xf>
    <xf numFmtId="0" fontId="100" fillId="0" borderId="78" xfId="0" applyFont="1" applyBorder="1" applyAlignment="1">
      <alignment horizontal="center" vertical="center"/>
    </xf>
    <xf numFmtId="0" fontId="100" fillId="0" borderId="70" xfId="0" applyFont="1" applyBorder="1" applyAlignment="1">
      <alignment horizontal="center" vertical="center"/>
    </xf>
    <xf numFmtId="0" fontId="100" fillId="0" borderId="184" xfId="0" applyFont="1" applyBorder="1" applyAlignment="1">
      <alignment horizontal="center" vertical="center"/>
    </xf>
    <xf numFmtId="0" fontId="106" fillId="0" borderId="173" xfId="0" applyFont="1" applyBorder="1" applyAlignment="1">
      <alignment vertical="center"/>
    </xf>
    <xf numFmtId="0" fontId="100" fillId="0" borderId="176" xfId="0" applyFont="1" applyBorder="1" applyAlignment="1">
      <alignment horizontal="center" vertical="center"/>
    </xf>
    <xf numFmtId="0" fontId="144" fillId="0" borderId="0" xfId="0" applyFont="1" applyAlignment="1">
      <alignment horizontal="center" vertical="center"/>
    </xf>
    <xf numFmtId="0" fontId="145" fillId="0" borderId="0" xfId="0" applyFont="1" applyAlignment="1">
      <alignment horizontal="center" vertical="center"/>
    </xf>
    <xf numFmtId="0" fontId="143" fillId="72" borderId="29" xfId="0" applyFont="1" applyFill="1" applyBorder="1" applyAlignment="1">
      <alignment horizontal="center" vertical="center"/>
    </xf>
    <xf numFmtId="0" fontId="100" fillId="50" borderId="112" xfId="0" applyFont="1" applyFill="1" applyBorder="1" applyAlignment="1">
      <alignment horizontal="center" vertical="center"/>
    </xf>
    <xf numFmtId="0" fontId="100" fillId="50" borderId="113" xfId="0" applyFont="1" applyFill="1" applyBorder="1" applyAlignment="1">
      <alignment horizontal="center" vertical="center"/>
    </xf>
    <xf numFmtId="0" fontId="100" fillId="50" borderId="114" xfId="0" applyFont="1" applyFill="1" applyBorder="1" applyAlignment="1">
      <alignment horizontal="center" vertical="center"/>
    </xf>
    <xf numFmtId="0" fontId="27" fillId="0" borderId="75" xfId="0" applyFont="1" applyBorder="1" applyAlignment="1">
      <alignment vertical="center"/>
    </xf>
    <xf numFmtId="0" fontId="27" fillId="0" borderId="178" xfId="0" applyFont="1" applyBorder="1" applyAlignment="1">
      <alignment vertical="center"/>
    </xf>
    <xf numFmtId="0" fontId="104" fillId="0" borderId="185" xfId="0" applyFont="1" applyBorder="1"/>
    <xf numFmtId="2" fontId="131" fillId="33" borderId="185" xfId="0" applyNumberFormat="1" applyFont="1" applyFill="1" applyBorder="1" applyAlignment="1" applyProtection="1">
      <alignment vertical="center"/>
      <protection locked="0"/>
    </xf>
    <xf numFmtId="2" fontId="131" fillId="33" borderId="185" xfId="0" applyNumberFormat="1" applyFont="1" applyFill="1" applyBorder="1" applyAlignment="1">
      <alignment vertical="center"/>
    </xf>
    <xf numFmtId="0" fontId="134" fillId="0" borderId="29" xfId="0" applyFont="1" applyBorder="1" applyAlignment="1" applyProtection="1">
      <alignment horizontal="center"/>
      <protection locked="0"/>
    </xf>
    <xf numFmtId="0" fontId="0" fillId="70" borderId="112" xfId="0" applyFill="1" applyBorder="1" applyAlignment="1">
      <alignment horizontal="center"/>
    </xf>
    <xf numFmtId="0" fontId="0" fillId="70" borderId="113" xfId="0" applyFill="1" applyBorder="1" applyAlignment="1">
      <alignment horizontal="center"/>
    </xf>
    <xf numFmtId="0" fontId="0" fillId="70" borderId="114" xfId="0" applyFill="1" applyBorder="1" applyAlignment="1">
      <alignment horizontal="center"/>
    </xf>
    <xf numFmtId="0" fontId="134" fillId="0" borderId="26" xfId="0" applyFont="1" applyBorder="1" applyAlignment="1" applyProtection="1">
      <alignment horizontal="center"/>
      <protection locked="0"/>
    </xf>
    <xf numFmtId="0" fontId="0" fillId="70" borderId="194" xfId="0" applyFill="1" applyBorder="1" applyAlignment="1">
      <alignment horizontal="center"/>
    </xf>
    <xf numFmtId="0" fontId="143" fillId="72" borderId="195" xfId="0" applyFont="1" applyFill="1" applyBorder="1" applyAlignment="1">
      <alignment horizontal="center" vertical="center"/>
    </xf>
    <xf numFmtId="0" fontId="104" fillId="70" borderId="14" xfId="0" applyFont="1" applyFill="1" applyBorder="1" applyAlignment="1">
      <alignment horizontal="center"/>
    </xf>
    <xf numFmtId="0" fontId="104" fillId="70" borderId="84" xfId="0" applyFont="1" applyFill="1" applyBorder="1" applyAlignment="1">
      <alignment horizontal="center"/>
    </xf>
    <xf numFmtId="0" fontId="104" fillId="70" borderId="12" xfId="0" applyFont="1" applyFill="1" applyBorder="1" applyAlignment="1">
      <alignment horizontal="center"/>
    </xf>
    <xf numFmtId="0" fontId="104" fillId="70" borderId="186" xfId="0" applyFont="1" applyFill="1" applyBorder="1" applyAlignment="1">
      <alignment horizontal="center"/>
    </xf>
    <xf numFmtId="0" fontId="104" fillId="70" borderId="45" xfId="0" applyFont="1" applyFill="1" applyBorder="1" applyAlignment="1">
      <alignment horizontal="center"/>
    </xf>
    <xf numFmtId="0" fontId="104" fillId="70" borderId="16" xfId="0" applyFont="1" applyFill="1" applyBorder="1" applyAlignment="1">
      <alignment horizontal="center"/>
    </xf>
    <xf numFmtId="0" fontId="104" fillId="70" borderId="70" xfId="0" applyFont="1" applyFill="1" applyBorder="1" applyAlignment="1">
      <alignment horizontal="center"/>
    </xf>
    <xf numFmtId="0" fontId="104" fillId="70" borderId="93" xfId="0" applyFont="1" applyFill="1" applyBorder="1" applyAlignment="1">
      <alignment horizontal="center"/>
    </xf>
    <xf numFmtId="0" fontId="104" fillId="70" borderId="99" xfId="0" applyFont="1" applyFill="1" applyBorder="1" applyAlignment="1">
      <alignment horizontal="center"/>
    </xf>
    <xf numFmtId="0" fontId="104" fillId="70" borderId="97" xfId="0" applyFont="1" applyFill="1" applyBorder="1" applyAlignment="1">
      <alignment horizontal="center"/>
    </xf>
    <xf numFmtId="0" fontId="104" fillId="70" borderId="134" xfId="0" applyFont="1" applyFill="1" applyBorder="1" applyAlignment="1">
      <alignment horizontal="center"/>
    </xf>
    <xf numFmtId="0" fontId="104" fillId="70" borderId="150" xfId="0" applyFont="1" applyFill="1" applyBorder="1" applyAlignment="1">
      <alignment horizontal="center"/>
    </xf>
    <xf numFmtId="0" fontId="104" fillId="70" borderId="152" xfId="0" applyFont="1" applyFill="1" applyBorder="1" applyAlignment="1">
      <alignment horizontal="center"/>
    </xf>
    <xf numFmtId="0" fontId="104" fillId="70" borderId="154" xfId="0" applyFont="1" applyFill="1" applyBorder="1" applyAlignment="1">
      <alignment horizontal="center"/>
    </xf>
    <xf numFmtId="0" fontId="104" fillId="70" borderId="88" xfId="0" applyFont="1" applyFill="1" applyBorder="1" applyAlignment="1">
      <alignment horizontal="center"/>
    </xf>
    <xf numFmtId="0" fontId="104" fillId="70" borderId="95" xfId="0" applyFont="1" applyFill="1" applyBorder="1" applyAlignment="1">
      <alignment horizontal="center"/>
    </xf>
    <xf numFmtId="0" fontId="104" fillId="0" borderId="182" xfId="0" applyFont="1" applyBorder="1"/>
    <xf numFmtId="0" fontId="142" fillId="0" borderId="0" xfId="0" applyFont="1" applyProtection="1">
      <protection locked="0"/>
    </xf>
    <xf numFmtId="0" fontId="142" fillId="0" borderId="0" xfId="0" applyFont="1" applyAlignment="1" applyProtection="1">
      <alignment horizontal="left"/>
      <protection locked="0"/>
    </xf>
    <xf numFmtId="2" fontId="146" fillId="0" borderId="0" xfId="0" applyNumberFormat="1" applyFont="1" applyAlignment="1" applyProtection="1">
      <alignment horizontal="left" vertical="center"/>
      <protection locked="0"/>
    </xf>
    <xf numFmtId="4" fontId="138" fillId="0" borderId="0" xfId="0" applyNumberFormat="1" applyFont="1" applyAlignment="1" applyProtection="1">
      <alignment horizontal="center" vertical="center"/>
      <protection locked="0"/>
    </xf>
    <xf numFmtId="2" fontId="147" fillId="0" borderId="0" xfId="0" applyNumberFormat="1" applyFont="1" applyAlignment="1" applyProtection="1">
      <alignment horizontal="left" vertical="center"/>
      <protection locked="0"/>
    </xf>
    <xf numFmtId="4" fontId="138" fillId="48" borderId="0" xfId="0" applyNumberFormat="1" applyFont="1" applyFill="1" applyAlignment="1" applyProtection="1">
      <alignment horizontal="center" vertical="center"/>
      <protection locked="0"/>
    </xf>
    <xf numFmtId="0" fontId="138" fillId="47" borderId="0" xfId="0" applyFont="1" applyFill="1" applyAlignment="1" applyProtection="1">
      <alignment horizontal="center" vertical="center"/>
      <protection locked="0"/>
    </xf>
    <xf numFmtId="4" fontId="138" fillId="47" borderId="0" xfId="0" applyNumberFormat="1" applyFont="1" applyFill="1" applyAlignment="1" applyProtection="1">
      <alignment horizontal="center" vertical="center"/>
      <protection locked="0"/>
    </xf>
    <xf numFmtId="2" fontId="146" fillId="47" borderId="0" xfId="0" applyNumberFormat="1" applyFont="1" applyFill="1" applyAlignment="1" applyProtection="1">
      <alignment horizontal="left" vertical="center"/>
      <protection locked="0"/>
    </xf>
    <xf numFmtId="221" fontId="128" fillId="0" borderId="77" xfId="0" applyNumberFormat="1" applyFont="1" applyBorder="1" applyAlignment="1">
      <alignment horizontal="left"/>
    </xf>
    <xf numFmtId="221" fontId="128" fillId="0" borderId="46" xfId="0" applyNumberFormat="1" applyFont="1" applyBorder="1" applyAlignment="1">
      <alignment horizontal="left"/>
    </xf>
    <xf numFmtId="2" fontId="131" fillId="68" borderId="185" xfId="0" applyNumberFormat="1" applyFont="1" applyFill="1" applyBorder="1" applyAlignment="1">
      <alignment horizontal="right" vertical="center"/>
    </xf>
    <xf numFmtId="2" fontId="115" fillId="68" borderId="50" xfId="0" applyNumberFormat="1" applyFont="1" applyFill="1" applyBorder="1" applyAlignment="1">
      <alignment horizontal="right" vertical="center"/>
    </xf>
    <xf numFmtId="0" fontId="27" fillId="0" borderId="178" xfId="0" applyFont="1" applyBorder="1" applyAlignment="1">
      <alignment horizontal="left" wrapText="1"/>
    </xf>
    <xf numFmtId="2" fontId="27" fillId="0" borderId="184" xfId="0" applyNumberFormat="1" applyFont="1" applyBorder="1"/>
    <xf numFmtId="0" fontId="0" fillId="0" borderId="185" xfId="0" applyBorder="1" applyProtection="1">
      <protection locked="0"/>
    </xf>
    <xf numFmtId="220" fontId="0" fillId="0" borderId="178" xfId="0" applyNumberFormat="1" applyBorder="1"/>
    <xf numFmtId="0" fontId="0" fillId="0" borderId="178" xfId="0" applyBorder="1"/>
    <xf numFmtId="0" fontId="0" fillId="0" borderId="184" xfId="0" applyBorder="1"/>
    <xf numFmtId="0" fontId="0" fillId="0" borderId="186" xfId="0" applyBorder="1"/>
    <xf numFmtId="0" fontId="113" fillId="0" borderId="17" xfId="0" applyFont="1" applyBorder="1" applyAlignment="1" applyProtection="1">
      <alignment horizontal="left"/>
      <protection locked="0"/>
    </xf>
    <xf numFmtId="0" fontId="113" fillId="0" borderId="23" xfId="0" applyFont="1" applyBorder="1" applyAlignment="1" applyProtection="1">
      <alignment horizontal="left"/>
      <protection locked="0"/>
    </xf>
    <xf numFmtId="0" fontId="113" fillId="0" borderId="20" xfId="0" applyFont="1" applyBorder="1" applyAlignment="1" applyProtection="1">
      <alignment horizontal="left"/>
      <protection locked="0"/>
    </xf>
    <xf numFmtId="0" fontId="113" fillId="0" borderId="80" xfId="0" applyFont="1" applyBorder="1" applyAlignment="1" applyProtection="1">
      <alignment horizontal="left"/>
      <protection locked="0"/>
    </xf>
    <xf numFmtId="0" fontId="113" fillId="0" borderId="81" xfId="0" applyFont="1" applyBorder="1" applyAlignment="1" applyProtection="1">
      <alignment horizontal="left"/>
      <protection locked="0"/>
    </xf>
    <xf numFmtId="15" fontId="113" fillId="0" borderId="19" xfId="0" applyNumberFormat="1" applyFont="1" applyBorder="1" applyAlignment="1" applyProtection="1">
      <alignment horizontal="left"/>
      <protection locked="0"/>
    </xf>
    <xf numFmtId="15" fontId="113" fillId="0" borderId="0" xfId="0" applyNumberFormat="1" applyFont="1" applyAlignment="1" applyProtection="1">
      <alignment horizontal="left"/>
      <protection locked="0"/>
    </xf>
    <xf numFmtId="15" fontId="113" fillId="0" borderId="18" xfId="0" applyNumberFormat="1" applyFont="1" applyBorder="1" applyAlignment="1" applyProtection="1">
      <alignment horizontal="left"/>
      <protection locked="0"/>
    </xf>
    <xf numFmtId="0" fontId="83" fillId="0" borderId="182" xfId="0" applyFont="1" applyBorder="1" applyAlignment="1">
      <alignment horizontal="left" vertical="center"/>
    </xf>
    <xf numFmtId="2" fontId="83" fillId="0" borderId="182" xfId="0" applyNumberFormat="1" applyFont="1" applyBorder="1" applyAlignment="1">
      <alignment horizontal="right" vertical="center"/>
    </xf>
    <xf numFmtId="210" fontId="87" fillId="29" borderId="13" xfId="0" applyNumberFormat="1" applyFont="1" applyFill="1" applyBorder="1" applyAlignment="1">
      <alignment horizontal="right" vertical="center"/>
    </xf>
    <xf numFmtId="0" fontId="87" fillId="29" borderId="65" xfId="0" applyFont="1" applyFill="1" applyBorder="1" applyAlignment="1">
      <alignment vertical="center" wrapText="1"/>
    </xf>
    <xf numFmtId="0" fontId="83" fillId="29" borderId="13" xfId="0" applyFont="1" applyFill="1" applyBorder="1" applyAlignment="1">
      <alignment vertical="center"/>
    </xf>
    <xf numFmtId="213" fontId="83" fillId="29" borderId="14" xfId="0" applyNumberFormat="1" applyFont="1" applyFill="1" applyBorder="1" applyAlignment="1">
      <alignment vertical="center"/>
    </xf>
    <xf numFmtId="214" fontId="83" fillId="29" borderId="13" xfId="0" applyNumberFormat="1" applyFont="1" applyFill="1" applyBorder="1" applyAlignment="1">
      <alignment vertical="center"/>
    </xf>
    <xf numFmtId="0" fontId="83" fillId="29" borderId="14" xfId="0" applyFont="1" applyFill="1" applyBorder="1" applyAlignment="1">
      <alignment vertical="center"/>
    </xf>
    <xf numFmtId="1" fontId="83" fillId="29" borderId="13" xfId="0" applyNumberFormat="1" applyFont="1" applyFill="1" applyBorder="1" applyAlignment="1">
      <alignment vertical="center"/>
    </xf>
    <xf numFmtId="0" fontId="83" fillId="29" borderId="47" xfId="0" applyFont="1" applyFill="1" applyBorder="1" applyAlignment="1">
      <alignment vertical="center"/>
    </xf>
    <xf numFmtId="212" fontId="83" fillId="29" borderId="47" xfId="0" applyNumberFormat="1" applyFont="1" applyFill="1" applyBorder="1" applyAlignment="1">
      <alignment vertical="center"/>
    </xf>
    <xf numFmtId="2" fontId="83" fillId="0" borderId="185" xfId="0" applyNumberFormat="1" applyFont="1" applyBorder="1" applyAlignment="1">
      <alignment horizontal="right" vertical="center"/>
    </xf>
    <xf numFmtId="0" fontId="83" fillId="0" borderId="184" xfId="0" applyFont="1" applyBorder="1" applyAlignment="1">
      <alignment vertical="center" wrapText="1"/>
    </xf>
    <xf numFmtId="0" fontId="83" fillId="0" borderId="185" xfId="0" applyFont="1" applyBorder="1" applyAlignment="1">
      <alignment vertical="center"/>
    </xf>
    <xf numFmtId="4" fontId="83" fillId="0" borderId="186" xfId="0" applyNumberFormat="1" applyFont="1" applyBorder="1" applyAlignment="1">
      <alignment vertical="center"/>
    </xf>
    <xf numFmtId="2" fontId="83" fillId="0" borderId="185" xfId="0" applyNumberFormat="1" applyFont="1" applyBorder="1" applyAlignment="1">
      <alignment vertical="center"/>
    </xf>
    <xf numFmtId="166" fontId="83" fillId="0" borderId="186" xfId="0" applyNumberFormat="1" applyFont="1" applyBorder="1" applyAlignment="1">
      <alignment vertical="center"/>
    </xf>
    <xf numFmtId="210" fontId="83" fillId="0" borderId="185" xfId="0" applyNumberFormat="1" applyFont="1" applyBorder="1" applyAlignment="1" applyProtection="1">
      <alignment vertical="center"/>
      <protection locked="0"/>
    </xf>
    <xf numFmtId="210" fontId="83" fillId="0" borderId="178" xfId="0" applyNumberFormat="1" applyFont="1" applyBorder="1" applyAlignment="1" applyProtection="1">
      <alignment vertical="center"/>
      <protection locked="0"/>
    </xf>
    <xf numFmtId="212" fontId="83" fillId="0" borderId="178" xfId="0" applyNumberFormat="1" applyFont="1" applyBorder="1" applyAlignment="1" applyProtection="1">
      <alignment vertical="center"/>
      <protection locked="0"/>
    </xf>
    <xf numFmtId="49" fontId="83" fillId="0" borderId="186" xfId="0" applyNumberFormat="1" applyFont="1" applyBorder="1" applyAlignment="1" applyProtection="1">
      <alignment vertical="center"/>
      <protection locked="0"/>
    </xf>
    <xf numFmtId="0" fontId="83" fillId="0" borderId="186" xfId="0" applyFont="1" applyBorder="1" applyAlignment="1" applyProtection="1">
      <alignment horizontal="left" vertical="center"/>
      <protection locked="0"/>
    </xf>
    <xf numFmtId="210" fontId="87" fillId="62" borderId="185" xfId="0" applyNumberFormat="1" applyFont="1" applyFill="1" applyBorder="1" applyAlignment="1">
      <alignment horizontal="right" vertical="center"/>
    </xf>
    <xf numFmtId="0" fontId="87" fillId="62" borderId="184" xfId="0" applyFont="1" applyFill="1" applyBorder="1" applyAlignment="1">
      <alignment vertical="center" wrapText="1"/>
    </xf>
    <xf numFmtId="0" fontId="87" fillId="62" borderId="185" xfId="0" applyFont="1" applyFill="1" applyBorder="1" applyAlignment="1">
      <alignment vertical="center"/>
    </xf>
    <xf numFmtId="4" fontId="87" fillId="62" borderId="186" xfId="0" applyNumberFormat="1" applyFont="1" applyFill="1" applyBorder="1" applyAlignment="1">
      <alignment vertical="center"/>
    </xf>
    <xf numFmtId="2" fontId="87" fillId="29" borderId="185" xfId="0" applyNumberFormat="1" applyFont="1" applyFill="1" applyBorder="1" applyAlignment="1">
      <alignment vertical="center" wrapText="1"/>
    </xf>
    <xf numFmtId="0" fontId="87" fillId="29" borderId="186" xfId="0" applyFont="1" applyFill="1" applyBorder="1" applyAlignment="1">
      <alignment vertical="center" wrapText="1"/>
    </xf>
    <xf numFmtId="1" fontId="87" fillId="29" borderId="185" xfId="0" applyNumberFormat="1" applyFont="1" applyFill="1" applyBorder="1" applyAlignment="1">
      <alignment vertical="center" wrapText="1"/>
    </xf>
    <xf numFmtId="0" fontId="87" fillId="29" borderId="178" xfId="0" applyFont="1" applyFill="1" applyBorder="1" applyAlignment="1">
      <alignment vertical="center" wrapText="1"/>
    </xf>
    <xf numFmtId="212" fontId="87" fillId="29" borderId="178" xfId="0" applyNumberFormat="1" applyFont="1" applyFill="1" applyBorder="1" applyAlignment="1">
      <alignment vertical="center" wrapText="1"/>
    </xf>
    <xf numFmtId="0" fontId="87" fillId="29" borderId="186" xfId="0" applyFont="1" applyFill="1" applyBorder="1" applyAlignment="1">
      <alignment horizontal="left" vertical="center" wrapText="1"/>
    </xf>
    <xf numFmtId="210" fontId="83" fillId="0" borderId="185" xfId="0" applyNumberFormat="1" applyFont="1" applyBorder="1" applyAlignment="1">
      <alignment vertical="center"/>
    </xf>
    <xf numFmtId="210" fontId="83" fillId="0" borderId="178" xfId="0" applyNumberFormat="1" applyFont="1" applyBorder="1" applyAlignment="1">
      <alignment vertical="center"/>
    </xf>
    <xf numFmtId="212" fontId="83" fillId="0" borderId="178" xfId="0" applyNumberFormat="1" applyFont="1" applyBorder="1" applyAlignment="1">
      <alignment vertical="center"/>
    </xf>
    <xf numFmtId="49" fontId="83" fillId="0" borderId="186" xfId="0" applyNumberFormat="1" applyFont="1" applyBorder="1" applyAlignment="1">
      <alignment vertical="center"/>
    </xf>
    <xf numFmtId="0" fontId="83" fillId="0" borderId="186" xfId="0" applyFont="1" applyBorder="1" applyAlignment="1">
      <alignment horizontal="left" vertical="center"/>
    </xf>
    <xf numFmtId="2" fontId="83" fillId="57" borderId="185" xfId="0" applyNumberFormat="1" applyFont="1" applyFill="1" applyBorder="1" applyAlignment="1">
      <alignment vertical="center"/>
    </xf>
    <xf numFmtId="166" fontId="83" fillId="57" borderId="186" xfId="0" applyNumberFormat="1" applyFont="1" applyFill="1" applyBorder="1" applyAlignment="1">
      <alignment vertical="center"/>
    </xf>
    <xf numFmtId="210" fontId="83" fillId="57" borderId="185" xfId="0" applyNumberFormat="1" applyFont="1" applyFill="1" applyBorder="1" applyAlignment="1">
      <alignment vertical="center"/>
    </xf>
    <xf numFmtId="210" fontId="83" fillId="57" borderId="178" xfId="0" applyNumberFormat="1" applyFont="1" applyFill="1" applyBorder="1" applyAlignment="1">
      <alignment vertical="center"/>
    </xf>
    <xf numFmtId="212" fontId="83" fillId="57" borderId="178" xfId="0" applyNumberFormat="1" applyFont="1" applyFill="1" applyBorder="1" applyAlignment="1">
      <alignment vertical="center"/>
    </xf>
    <xf numFmtId="49" fontId="83" fillId="57" borderId="186" xfId="0" applyNumberFormat="1" applyFont="1" applyFill="1" applyBorder="1" applyAlignment="1">
      <alignment vertical="center"/>
    </xf>
    <xf numFmtId="0" fontId="83" fillId="57" borderId="186" xfId="0" applyFont="1" applyFill="1" applyBorder="1" applyAlignment="1">
      <alignment horizontal="left" vertical="center"/>
    </xf>
    <xf numFmtId="49" fontId="83" fillId="0" borderId="186" xfId="0" applyNumberFormat="1" applyFont="1" applyBorder="1" applyAlignment="1">
      <alignment horizontal="left" vertical="center"/>
    </xf>
    <xf numFmtId="2" fontId="83" fillId="49" borderId="185" xfId="0" applyNumberFormat="1" applyFont="1" applyFill="1" applyBorder="1" applyAlignment="1">
      <alignment vertical="center"/>
    </xf>
    <xf numFmtId="166" fontId="83" fillId="49" borderId="186" xfId="0" applyNumberFormat="1" applyFont="1" applyFill="1" applyBorder="1" applyAlignment="1">
      <alignment vertical="center"/>
    </xf>
    <xf numFmtId="210" fontId="83" fillId="49" borderId="185" xfId="0" applyNumberFormat="1" applyFont="1" applyFill="1" applyBorder="1" applyAlignment="1">
      <alignment vertical="center"/>
    </xf>
    <xf numFmtId="210" fontId="83" fillId="49" borderId="178" xfId="0" applyNumberFormat="1" applyFont="1" applyFill="1" applyBorder="1" applyAlignment="1">
      <alignment vertical="center"/>
    </xf>
    <xf numFmtId="212" fontId="83" fillId="49" borderId="178" xfId="0" applyNumberFormat="1" applyFont="1" applyFill="1" applyBorder="1" applyAlignment="1">
      <alignment vertical="center"/>
    </xf>
    <xf numFmtId="49" fontId="83" fillId="49" borderId="186" xfId="0" applyNumberFormat="1" applyFont="1" applyFill="1" applyBorder="1" applyAlignment="1">
      <alignment vertical="center"/>
    </xf>
    <xf numFmtId="0" fontId="83" fillId="0" borderId="184" xfId="0" applyFont="1" applyBorder="1" applyAlignment="1">
      <alignment horizontal="left" vertical="center" wrapText="1"/>
    </xf>
    <xf numFmtId="0" fontId="83" fillId="0" borderId="176" xfId="0" applyFont="1" applyBorder="1" applyAlignment="1">
      <alignment vertical="center" wrapText="1"/>
    </xf>
    <xf numFmtId="4" fontId="131" fillId="50" borderId="174" xfId="0" applyNumberFormat="1" applyFont="1" applyFill="1" applyBorder="1" applyAlignment="1" applyProtection="1">
      <alignment vertical="center"/>
      <protection locked="0"/>
    </xf>
    <xf numFmtId="170" fontId="93" fillId="48" borderId="0" xfId="0" applyNumberFormat="1" applyFont="1" applyFill="1" applyProtection="1">
      <protection locked="0"/>
    </xf>
    <xf numFmtId="0" fontId="122" fillId="50" borderId="190" xfId="0" applyFont="1" applyFill="1" applyBorder="1"/>
    <xf numFmtId="0" fontId="122" fillId="50" borderId="114" xfId="0" applyFont="1" applyFill="1" applyBorder="1"/>
    <xf numFmtId="2" fontId="113" fillId="0" borderId="112" xfId="0" applyNumberFormat="1" applyFont="1" applyBorder="1" applyProtection="1">
      <protection locked="0"/>
    </xf>
    <xf numFmtId="2" fontId="113" fillId="0" borderId="190" xfId="0" applyNumberFormat="1" applyFont="1" applyBorder="1" applyProtection="1">
      <protection locked="0"/>
    </xf>
    <xf numFmtId="0" fontId="104" fillId="0" borderId="172" xfId="0" applyFont="1" applyBorder="1"/>
    <xf numFmtId="0" fontId="104" fillId="70" borderId="174" xfId="0" applyFont="1" applyFill="1" applyBorder="1" applyAlignment="1">
      <alignment horizontal="center"/>
    </xf>
    <xf numFmtId="0" fontId="100" fillId="30" borderId="178" xfId="0" applyFont="1" applyFill="1" applyBorder="1" applyAlignment="1">
      <alignment horizontal="center" vertical="center"/>
    </xf>
    <xf numFmtId="0" fontId="100" fillId="51" borderId="178" xfId="0" applyFont="1" applyFill="1" applyBorder="1" applyAlignment="1">
      <alignment horizontal="center" vertical="center"/>
    </xf>
    <xf numFmtId="0" fontId="123" fillId="60" borderId="178" xfId="0" applyFont="1" applyFill="1" applyBorder="1" applyAlignment="1">
      <alignment horizontal="center" vertical="center"/>
    </xf>
    <xf numFmtId="0" fontId="100" fillId="54" borderId="178" xfId="0" applyFont="1" applyFill="1" applyBorder="1" applyAlignment="1">
      <alignment horizontal="center" vertical="center"/>
    </xf>
    <xf numFmtId="0" fontId="109" fillId="41" borderId="178" xfId="0" applyFont="1" applyFill="1" applyBorder="1" applyAlignment="1" applyProtection="1">
      <alignment horizontal="center"/>
      <protection locked="0"/>
    </xf>
    <xf numFmtId="0" fontId="109" fillId="47" borderId="178" xfId="0" applyFont="1" applyFill="1" applyBorder="1" applyAlignment="1">
      <alignment horizontal="center"/>
    </xf>
    <xf numFmtId="0" fontId="109" fillId="61" borderId="178" xfId="0" applyFont="1" applyFill="1" applyBorder="1" applyAlignment="1" applyProtection="1">
      <alignment horizontal="center"/>
      <protection locked="0"/>
    </xf>
    <xf numFmtId="0" fontId="100" fillId="0" borderId="178" xfId="0" applyFont="1" applyBorder="1" applyAlignment="1" applyProtection="1">
      <alignment horizontal="center"/>
      <protection locked="0"/>
    </xf>
    <xf numFmtId="0" fontId="110" fillId="41" borderId="178" xfId="0" applyFont="1" applyFill="1" applyBorder="1" applyAlignment="1" applyProtection="1">
      <alignment horizontal="center" vertical="center"/>
      <protection locked="0"/>
    </xf>
    <xf numFmtId="0" fontId="85" fillId="0" borderId="178" xfId="0" quotePrefix="1" applyFont="1" applyBorder="1" applyAlignment="1" applyProtection="1">
      <alignment horizontal="center" vertical="center"/>
      <protection locked="0"/>
    </xf>
    <xf numFmtId="0" fontId="85" fillId="0" borderId="178" xfId="0" applyFont="1" applyBorder="1" applyAlignment="1" applyProtection="1">
      <alignment horizontal="center" vertical="center"/>
      <protection locked="0"/>
    </xf>
    <xf numFmtId="0" fontId="109" fillId="0" borderId="178" xfId="0" applyFont="1" applyBorder="1" applyAlignment="1" applyProtection="1">
      <alignment horizontal="center"/>
      <protection locked="0"/>
    </xf>
    <xf numFmtId="0" fontId="0" fillId="41" borderId="178" xfId="0" applyFill="1" applyBorder="1" applyAlignment="1" applyProtection="1">
      <alignment horizontal="center"/>
      <protection locked="0"/>
    </xf>
    <xf numFmtId="2" fontId="83" fillId="0" borderId="119" xfId="0" applyNumberFormat="1" applyFont="1" applyBorder="1" applyAlignment="1">
      <alignment horizontal="right" vertical="center"/>
    </xf>
    <xf numFmtId="9" fontId="122" fillId="70" borderId="112" xfId="0" applyNumberFormat="1" applyFont="1" applyFill="1" applyBorder="1"/>
    <xf numFmtId="9" fontId="122" fillId="70" borderId="113" xfId="0" applyNumberFormat="1" applyFont="1" applyFill="1" applyBorder="1"/>
    <xf numFmtId="9" fontId="122" fillId="70" borderId="31" xfId="0" applyNumberFormat="1" applyFont="1" applyFill="1" applyBorder="1"/>
    <xf numFmtId="2" fontId="83" fillId="73" borderId="185" xfId="0" applyNumberFormat="1" applyFont="1" applyFill="1" applyBorder="1" applyAlignment="1">
      <alignment horizontal="right" vertical="center"/>
    </xf>
    <xf numFmtId="2" fontId="147" fillId="48" borderId="0" xfId="0" applyNumberFormat="1" applyFont="1" applyFill="1" applyAlignment="1" applyProtection="1">
      <alignment horizontal="left" vertical="center"/>
      <protection locked="0"/>
    </xf>
    <xf numFmtId="0" fontId="114" fillId="0" borderId="185" xfId="0" applyFont="1" applyBorder="1" applyAlignment="1" applyProtection="1">
      <alignment horizontal="left" vertical="top"/>
      <protection locked="0"/>
    </xf>
    <xf numFmtId="0" fontId="114" fillId="0" borderId="178" xfId="0" applyFont="1" applyBorder="1" applyAlignment="1" applyProtection="1">
      <alignment horizontal="left" vertical="top"/>
      <protection locked="0"/>
    </xf>
    <xf numFmtId="0" fontId="114" fillId="0" borderId="186" xfId="0" applyFont="1" applyBorder="1" applyAlignment="1" applyProtection="1">
      <alignment horizontal="left" vertical="top"/>
      <protection locked="0"/>
    </xf>
    <xf numFmtId="0" fontId="114" fillId="0" borderId="172" xfId="0" applyFont="1" applyBorder="1" applyAlignment="1" applyProtection="1">
      <alignment horizontal="left" vertical="top"/>
      <protection locked="0"/>
    </xf>
    <xf numFmtId="0" fontId="114" fillId="0" borderId="173" xfId="0" applyFont="1" applyBorder="1" applyAlignment="1" applyProtection="1">
      <alignment horizontal="left" vertical="top"/>
      <protection locked="0"/>
    </xf>
    <xf numFmtId="0" fontId="114" fillId="0" borderId="174" xfId="0" applyFont="1" applyBorder="1" applyAlignment="1" applyProtection="1">
      <alignment horizontal="left" vertical="top"/>
      <protection locked="0"/>
    </xf>
    <xf numFmtId="0" fontId="113" fillId="0" borderId="19" xfId="0" applyFont="1" applyBorder="1" applyAlignment="1" applyProtection="1">
      <alignment horizontal="left"/>
      <protection locked="0"/>
    </xf>
    <xf numFmtId="0" fontId="113" fillId="0" borderId="0" xfId="0" applyFont="1" applyAlignment="1" applyProtection="1">
      <alignment horizontal="left"/>
      <protection locked="0"/>
    </xf>
    <xf numFmtId="0" fontId="113" fillId="0" borderId="18" xfId="0" applyFont="1" applyBorder="1" applyAlignment="1" applyProtection="1">
      <alignment horizontal="left"/>
      <protection locked="0"/>
    </xf>
    <xf numFmtId="0" fontId="113" fillId="52" borderId="38" xfId="0" applyFont="1" applyFill="1" applyBorder="1" applyAlignment="1">
      <alignment horizontal="left"/>
    </xf>
    <xf numFmtId="171" fontId="122" fillId="70" borderId="71" xfId="0" applyNumberFormat="1" applyFont="1" applyFill="1" applyBorder="1" applyAlignment="1">
      <alignment horizontal="left"/>
    </xf>
    <xf numFmtId="171" fontId="122" fillId="70" borderId="131" xfId="0" applyNumberFormat="1" applyFont="1" applyFill="1" applyBorder="1" applyAlignment="1">
      <alignment horizontal="left"/>
    </xf>
    <xf numFmtId="0" fontId="113" fillId="52" borderId="42" xfId="0" applyFont="1" applyFill="1" applyBorder="1" applyAlignment="1">
      <alignment horizontal="left"/>
    </xf>
    <xf numFmtId="9" fontId="122" fillId="70" borderId="71" xfId="225" applyFont="1" applyFill="1" applyBorder="1" applyAlignment="1" applyProtection="1">
      <alignment horizontal="left"/>
    </xf>
    <xf numFmtId="9" fontId="122" fillId="70" borderId="70" xfId="225" applyFont="1" applyFill="1" applyBorder="1" applyAlignment="1" applyProtection="1">
      <alignment horizontal="left"/>
    </xf>
    <xf numFmtId="9" fontId="122" fillId="70" borderId="131" xfId="225" applyFont="1" applyFill="1" applyBorder="1" applyAlignment="1" applyProtection="1">
      <alignment horizontal="left"/>
    </xf>
    <xf numFmtId="9" fontId="122" fillId="70" borderId="132" xfId="225" applyFont="1" applyFill="1" applyBorder="1" applyAlignment="1" applyProtection="1">
      <alignment horizontal="left"/>
    </xf>
    <xf numFmtId="0" fontId="113" fillId="0" borderId="0" xfId="0" applyFont="1" applyAlignment="1">
      <alignment horizontal="center"/>
    </xf>
    <xf numFmtId="0" fontId="114" fillId="70" borderId="71" xfId="0" applyFont="1" applyFill="1" applyBorder="1" applyAlignment="1">
      <alignment horizontal="left"/>
    </xf>
    <xf numFmtId="0" fontId="114" fillId="70" borderId="78" xfId="0" applyFont="1" applyFill="1" applyBorder="1" applyAlignment="1">
      <alignment horizontal="left"/>
    </xf>
    <xf numFmtId="0" fontId="114" fillId="70" borderId="124" xfId="0" applyFont="1" applyFill="1" applyBorder="1" applyAlignment="1">
      <alignment horizontal="left"/>
    </xf>
    <xf numFmtId="0" fontId="114" fillId="70" borderId="184" xfId="0" applyFont="1" applyFill="1" applyBorder="1" applyAlignment="1">
      <alignment horizontal="left"/>
    </xf>
    <xf numFmtId="171" fontId="114" fillId="70" borderId="69" xfId="0" applyNumberFormat="1" applyFont="1" applyFill="1" applyBorder="1" applyAlignment="1">
      <alignment horizontal="center"/>
    </xf>
    <xf numFmtId="171" fontId="114" fillId="70" borderId="70" xfId="0" applyNumberFormat="1" applyFont="1" applyFill="1" applyBorder="1" applyAlignment="1">
      <alignment horizontal="center"/>
    </xf>
    <xf numFmtId="171" fontId="114" fillId="70" borderId="185" xfId="0" applyNumberFormat="1" applyFont="1" applyFill="1" applyBorder="1" applyAlignment="1">
      <alignment horizontal="center"/>
    </xf>
    <xf numFmtId="171" fontId="114" fillId="70" borderId="186" xfId="0" applyNumberFormat="1" applyFont="1" applyFill="1" applyBorder="1" applyAlignment="1">
      <alignment horizontal="center"/>
    </xf>
    <xf numFmtId="171" fontId="114" fillId="70" borderId="185" xfId="0" applyNumberFormat="1" applyFont="1" applyFill="1" applyBorder="1" applyAlignment="1">
      <alignment horizontal="center" vertical="center"/>
    </xf>
    <xf numFmtId="171" fontId="114" fillId="70" borderId="186" xfId="0" applyNumberFormat="1" applyFont="1" applyFill="1" applyBorder="1" applyAlignment="1">
      <alignment horizontal="center" vertical="center"/>
    </xf>
    <xf numFmtId="171" fontId="114" fillId="70" borderId="172" xfId="0" applyNumberFormat="1" applyFont="1" applyFill="1" applyBorder="1" applyAlignment="1">
      <alignment horizontal="center"/>
    </xf>
    <xf numFmtId="171" fontId="114" fillId="70" borderId="174" xfId="0" applyNumberFormat="1" applyFont="1" applyFill="1" applyBorder="1" applyAlignment="1">
      <alignment horizontal="center"/>
    </xf>
    <xf numFmtId="171" fontId="122" fillId="50" borderId="25" xfId="0" applyNumberFormat="1" applyFont="1" applyFill="1" applyBorder="1" applyAlignment="1">
      <alignment horizontal="center"/>
    </xf>
    <xf numFmtId="171" fontId="122" fillId="50" borderId="22" xfId="0" applyNumberFormat="1" applyFont="1" applyFill="1" applyBorder="1" applyAlignment="1">
      <alignment horizontal="center"/>
    </xf>
    <xf numFmtId="0" fontId="127" fillId="50" borderId="17" xfId="0" applyFont="1" applyFill="1" applyBorder="1" applyAlignment="1">
      <alignment horizontal="right"/>
    </xf>
    <xf numFmtId="0" fontId="114" fillId="70" borderId="124" xfId="0" applyFont="1" applyFill="1" applyBorder="1" applyAlignment="1">
      <alignment horizontal="left" vertical="center"/>
    </xf>
    <xf numFmtId="0" fontId="114" fillId="70" borderId="184" xfId="0" applyFont="1" applyFill="1" applyBorder="1" applyAlignment="1">
      <alignment horizontal="left" vertical="center"/>
    </xf>
    <xf numFmtId="0" fontId="114" fillId="70" borderId="131" xfId="0" applyFont="1" applyFill="1" applyBorder="1" applyAlignment="1">
      <alignment horizontal="left"/>
    </xf>
    <xf numFmtId="0" fontId="114" fillId="70" borderId="176" xfId="0" applyFont="1" applyFill="1" applyBorder="1" applyAlignment="1">
      <alignment horizontal="left"/>
    </xf>
    <xf numFmtId="0" fontId="114" fillId="0" borderId="13" xfId="0" applyFont="1" applyBorder="1" applyAlignment="1" applyProtection="1">
      <alignment horizontal="left" vertical="top"/>
      <protection locked="0"/>
    </xf>
    <xf numFmtId="0" fontId="114" fillId="0" borderId="47" xfId="0" applyFont="1" applyBorder="1" applyAlignment="1" applyProtection="1">
      <alignment horizontal="left" vertical="top"/>
      <protection locked="0"/>
    </xf>
    <xf numFmtId="0" fontId="114" fillId="0" borderId="14" xfId="0" applyFont="1" applyBorder="1" applyAlignment="1" applyProtection="1">
      <alignment horizontal="left" vertical="top"/>
      <protection locked="0"/>
    </xf>
    <xf numFmtId="0" fontId="129" fillId="0" borderId="0" xfId="0" applyFont="1" applyAlignment="1">
      <alignment horizontal="left"/>
    </xf>
    <xf numFmtId="0" fontId="113" fillId="0" borderId="24" xfId="0" applyFont="1" applyBorder="1" applyAlignment="1" applyProtection="1">
      <alignment horizontal="left"/>
      <protection locked="0"/>
    </xf>
    <xf numFmtId="0" fontId="113" fillId="0" borderId="17" xfId="0" applyFont="1" applyBorder="1" applyAlignment="1" applyProtection="1">
      <alignment horizontal="left"/>
      <protection locked="0"/>
    </xf>
    <xf numFmtId="0" fontId="113" fillId="0" borderId="23" xfId="0" applyFont="1" applyBorder="1" applyAlignment="1" applyProtection="1">
      <alignment horizontal="left"/>
      <protection locked="0"/>
    </xf>
    <xf numFmtId="0" fontId="113" fillId="52" borderId="192" xfId="0" applyFont="1" applyFill="1" applyBorder="1" applyAlignment="1">
      <alignment horizontal="left"/>
    </xf>
    <xf numFmtId="0" fontId="113" fillId="52" borderId="41" xfId="0" applyFont="1" applyFill="1" applyBorder="1" applyAlignment="1">
      <alignment horizontal="left"/>
    </xf>
    <xf numFmtId="14" fontId="114" fillId="70" borderId="185" xfId="0" applyNumberFormat="1" applyFont="1" applyFill="1" applyBorder="1" applyAlignment="1">
      <alignment horizontal="left" vertical="top" wrapText="1"/>
    </xf>
    <xf numFmtId="14" fontId="114" fillId="70" borderId="178" xfId="0" applyNumberFormat="1" applyFont="1" applyFill="1" applyBorder="1" applyAlignment="1">
      <alignment horizontal="left" vertical="top" wrapText="1"/>
    </xf>
    <xf numFmtId="14" fontId="114" fillId="70" borderId="186" xfId="0" applyNumberFormat="1" applyFont="1" applyFill="1" applyBorder="1" applyAlignment="1">
      <alignment horizontal="left" vertical="top" wrapText="1"/>
    </xf>
    <xf numFmtId="0" fontId="113" fillId="0" borderId="20" xfId="0" applyFont="1" applyBorder="1" applyAlignment="1" applyProtection="1">
      <alignment horizontal="left"/>
      <protection locked="0"/>
    </xf>
    <xf numFmtId="0" fontId="113" fillId="0" borderId="80" xfId="0" applyFont="1" applyBorder="1" applyAlignment="1" applyProtection="1">
      <alignment horizontal="left"/>
      <protection locked="0"/>
    </xf>
    <xf numFmtId="0" fontId="113" fillId="0" borderId="81" xfId="0" applyFont="1" applyBorder="1" applyAlignment="1" applyProtection="1">
      <alignment horizontal="left"/>
      <protection locked="0"/>
    </xf>
    <xf numFmtId="0" fontId="93" fillId="0" borderId="0" xfId="0" applyFont="1" applyAlignment="1">
      <alignment horizontal="left"/>
    </xf>
    <xf numFmtId="0" fontId="24" fillId="31" borderId="24" xfId="234" applyFont="1" applyFill="1" applyBorder="1" applyAlignment="1" applyProtection="1">
      <alignment horizontal="right" vertical="center" wrapText="1"/>
      <protection locked="0"/>
    </xf>
    <xf numFmtId="0" fontId="24" fillId="31" borderId="23" xfId="234" applyFont="1" applyFill="1" applyBorder="1" applyAlignment="1" applyProtection="1">
      <alignment horizontal="right" vertical="center" wrapText="1"/>
      <protection locked="0"/>
    </xf>
    <xf numFmtId="0" fontId="24" fillId="31" borderId="19" xfId="234" applyFont="1" applyFill="1" applyBorder="1" applyAlignment="1" applyProtection="1">
      <alignment horizontal="right" vertical="center" wrapText="1"/>
      <protection locked="0"/>
    </xf>
    <xf numFmtId="0" fontId="24" fillId="31" borderId="18" xfId="234" applyFont="1" applyFill="1" applyBorder="1" applyAlignment="1" applyProtection="1">
      <alignment horizontal="right" vertical="center" wrapText="1"/>
      <protection locked="0"/>
    </xf>
    <xf numFmtId="0" fontId="26" fillId="31" borderId="25" xfId="234" applyFont="1" applyFill="1" applyBorder="1" applyAlignment="1" applyProtection="1">
      <alignment horizontal="center" vertical="center"/>
      <protection locked="0"/>
    </xf>
    <xf numFmtId="0" fontId="26" fillId="31" borderId="21" xfId="234" applyFont="1" applyFill="1" applyBorder="1" applyAlignment="1" applyProtection="1">
      <alignment horizontal="center" vertical="center"/>
      <protection locked="0"/>
    </xf>
    <xf numFmtId="169" fontId="24" fillId="0" borderId="25" xfId="234" applyNumberFormat="1" applyFont="1" applyBorder="1" applyAlignment="1" applyProtection="1">
      <alignment horizontal="left" vertical="center"/>
      <protection locked="0"/>
    </xf>
    <xf numFmtId="169" fontId="24" fillId="0" borderId="21" xfId="234" applyNumberFormat="1" applyFont="1" applyBorder="1" applyAlignment="1" applyProtection="1">
      <alignment horizontal="left" vertical="center"/>
      <protection locked="0"/>
    </xf>
    <xf numFmtId="169" fontId="24" fillId="0" borderId="22" xfId="234" applyNumberFormat="1" applyFont="1" applyBorder="1" applyAlignment="1" applyProtection="1">
      <alignment horizontal="left" vertical="center"/>
      <protection locked="0"/>
    </xf>
    <xf numFmtId="0" fontId="24" fillId="0" borderId="25" xfId="234" applyFont="1" applyBorder="1" applyAlignment="1" applyProtection="1">
      <alignment horizontal="left" vertical="center"/>
      <protection locked="0"/>
    </xf>
    <xf numFmtId="0" fontId="24" fillId="0" borderId="21" xfId="234" applyFont="1" applyBorder="1" applyAlignment="1" applyProtection="1">
      <alignment horizontal="left" vertical="center"/>
      <protection locked="0"/>
    </xf>
    <xf numFmtId="0" fontId="24" fillId="0" borderId="22" xfId="234" applyFont="1" applyBorder="1" applyAlignment="1" applyProtection="1">
      <alignment horizontal="left" vertical="center"/>
      <protection locked="0"/>
    </xf>
    <xf numFmtId="169" fontId="112" fillId="0" borderId="25" xfId="234" applyNumberFormat="1" applyFont="1" applyBorder="1" applyAlignment="1" applyProtection="1">
      <alignment horizontal="left" vertical="center"/>
      <protection locked="0"/>
    </xf>
    <xf numFmtId="169" fontId="112" fillId="0" borderId="21" xfId="234" applyNumberFormat="1" applyFont="1" applyBorder="1" applyAlignment="1" applyProtection="1">
      <alignment horizontal="left" vertical="center"/>
      <protection locked="0"/>
    </xf>
    <xf numFmtId="169" fontId="112" fillId="0" borderId="22" xfId="234" applyNumberFormat="1" applyFont="1" applyBorder="1" applyAlignment="1" applyProtection="1">
      <alignment horizontal="left" vertical="center"/>
      <protection locked="0"/>
    </xf>
    <xf numFmtId="0" fontId="24" fillId="0" borderId="24" xfId="234" applyFont="1" applyBorder="1" applyAlignment="1" applyProtection="1">
      <alignment horizontal="center" vertical="center"/>
      <protection locked="0"/>
    </xf>
    <xf numFmtId="0" fontId="24" fillId="0" borderId="17" xfId="234" applyFont="1" applyBorder="1" applyAlignment="1" applyProtection="1">
      <alignment horizontal="center" vertical="center"/>
      <protection locked="0"/>
    </xf>
    <xf numFmtId="0" fontId="24" fillId="0" borderId="23" xfId="234" applyFont="1" applyBorder="1" applyAlignment="1" applyProtection="1">
      <alignment horizontal="center" vertical="center"/>
      <protection locked="0"/>
    </xf>
    <xf numFmtId="0" fontId="24" fillId="0" borderId="19" xfId="234" applyFont="1" applyBorder="1" applyAlignment="1" applyProtection="1">
      <alignment horizontal="center" vertical="center"/>
      <protection locked="0"/>
    </xf>
    <xf numFmtId="0" fontId="24" fillId="0" borderId="0" xfId="234" applyFont="1" applyAlignment="1" applyProtection="1">
      <alignment horizontal="center" vertical="center"/>
      <protection locked="0"/>
    </xf>
    <xf numFmtId="0" fontId="24" fillId="0" borderId="18" xfId="234" applyFont="1" applyBorder="1" applyAlignment="1" applyProtection="1">
      <alignment horizontal="center" vertical="center"/>
      <protection locked="0"/>
    </xf>
    <xf numFmtId="0" fontId="24" fillId="0" borderId="20" xfId="234" applyFont="1" applyBorder="1" applyAlignment="1" applyProtection="1">
      <alignment horizontal="center" vertical="center"/>
      <protection locked="0"/>
    </xf>
    <xf numFmtId="0" fontId="24" fillId="0" borderId="80" xfId="234" applyFont="1" applyBorder="1" applyAlignment="1" applyProtection="1">
      <alignment horizontal="center" vertical="center"/>
      <protection locked="0"/>
    </xf>
    <xf numFmtId="0" fontId="24" fillId="0" borderId="81" xfId="234" applyFont="1" applyBorder="1" applyAlignment="1" applyProtection="1">
      <alignment horizontal="center" vertical="center"/>
      <protection locked="0"/>
    </xf>
    <xf numFmtId="0" fontId="103" fillId="31" borderId="25" xfId="234" applyFont="1" applyFill="1" applyBorder="1" applyAlignment="1" applyProtection="1">
      <alignment horizontal="center" vertical="center"/>
      <protection locked="0"/>
    </xf>
    <xf numFmtId="0" fontId="103" fillId="31" borderId="21" xfId="234" applyFont="1" applyFill="1" applyBorder="1" applyAlignment="1" applyProtection="1">
      <alignment horizontal="center" vertical="center"/>
      <protection locked="0"/>
    </xf>
    <xf numFmtId="0" fontId="103" fillId="31" borderId="22" xfId="234" applyFont="1" applyFill="1" applyBorder="1" applyAlignment="1" applyProtection="1">
      <alignment horizontal="center" vertical="center"/>
      <protection locked="0"/>
    </xf>
    <xf numFmtId="0" fontId="26" fillId="31" borderId="22" xfId="234" applyFont="1" applyFill="1" applyBorder="1" applyAlignment="1" applyProtection="1">
      <alignment horizontal="center" vertical="center"/>
      <protection locked="0"/>
    </xf>
    <xf numFmtId="0" fontId="108" fillId="0" borderId="17" xfId="234" applyFont="1" applyBorder="1" applyAlignment="1" applyProtection="1">
      <alignment horizontal="center" vertical="center"/>
      <protection locked="0"/>
    </xf>
    <xf numFmtId="0" fontId="108" fillId="0" borderId="23" xfId="234" applyFont="1" applyBorder="1" applyAlignment="1" applyProtection="1">
      <alignment horizontal="center" vertical="center"/>
      <protection locked="0"/>
    </xf>
    <xf numFmtId="0" fontId="108" fillId="0" borderId="0" xfId="234" applyFont="1" applyAlignment="1" applyProtection="1">
      <alignment horizontal="center" vertical="center"/>
      <protection locked="0"/>
    </xf>
    <xf numFmtId="0" fontId="108" fillId="0" borderId="18" xfId="234" applyFont="1" applyBorder="1" applyAlignment="1" applyProtection="1">
      <alignment horizontal="center" vertical="center"/>
      <protection locked="0"/>
    </xf>
    <xf numFmtId="0" fontId="108" fillId="0" borderId="80" xfId="234" applyFont="1" applyBorder="1" applyAlignment="1" applyProtection="1">
      <alignment horizontal="center" vertical="center"/>
      <protection locked="0"/>
    </xf>
    <xf numFmtId="0" fontId="108" fillId="0" borderId="39" xfId="234" applyFont="1" applyBorder="1" applyAlignment="1" applyProtection="1">
      <alignment horizontal="center" vertical="center"/>
      <protection locked="0"/>
    </xf>
    <xf numFmtId="0" fontId="108" fillId="0" borderId="40" xfId="234" applyFont="1" applyBorder="1" applyAlignment="1" applyProtection="1">
      <alignment horizontal="center" vertical="center"/>
      <protection locked="0"/>
    </xf>
    <xf numFmtId="0" fontId="103" fillId="31" borderId="25" xfId="234" applyFont="1" applyFill="1" applyBorder="1" applyAlignment="1">
      <alignment horizontal="center" vertical="center"/>
    </xf>
    <xf numFmtId="0" fontId="103" fillId="31" borderId="21" xfId="234" applyFont="1" applyFill="1" applyBorder="1" applyAlignment="1">
      <alignment horizontal="center" vertical="center"/>
    </xf>
    <xf numFmtId="0" fontId="112" fillId="48" borderId="24" xfId="234" applyFont="1" applyFill="1" applyBorder="1" applyAlignment="1">
      <alignment horizontal="left" vertical="center"/>
    </xf>
    <xf numFmtId="0" fontId="112" fillId="48" borderId="17" xfId="234" applyFont="1" applyFill="1" applyBorder="1" applyAlignment="1">
      <alignment horizontal="left" vertical="center"/>
    </xf>
    <xf numFmtId="0" fontId="112" fillId="48" borderId="23" xfId="234" applyFont="1" applyFill="1" applyBorder="1" applyAlignment="1">
      <alignment horizontal="left" vertical="center"/>
    </xf>
    <xf numFmtId="0" fontId="112" fillId="48" borderId="19" xfId="234" applyFont="1" applyFill="1" applyBorder="1" applyAlignment="1">
      <alignment horizontal="left" vertical="center"/>
    </xf>
    <xf numFmtId="0" fontId="112" fillId="48" borderId="0" xfId="234" applyFont="1" applyFill="1" applyAlignment="1">
      <alignment horizontal="left" vertical="center"/>
    </xf>
    <xf numFmtId="0" fontId="112" fillId="48" borderId="18" xfId="234" applyFont="1" applyFill="1" applyBorder="1" applyAlignment="1">
      <alignment horizontal="left" vertical="center"/>
    </xf>
    <xf numFmtId="14" fontId="112" fillId="48" borderId="19" xfId="234" applyNumberFormat="1" applyFont="1" applyFill="1" applyBorder="1" applyAlignment="1">
      <alignment horizontal="left" vertical="center"/>
    </xf>
    <xf numFmtId="14" fontId="112" fillId="48" borderId="0" xfId="234" applyNumberFormat="1" applyFont="1" applyFill="1" applyAlignment="1">
      <alignment horizontal="left" vertical="center"/>
    </xf>
    <xf numFmtId="14" fontId="112" fillId="48" borderId="18" xfId="234" applyNumberFormat="1" applyFont="1" applyFill="1" applyBorder="1" applyAlignment="1">
      <alignment horizontal="left" vertical="center"/>
    </xf>
    <xf numFmtId="0" fontId="112" fillId="48" borderId="19" xfId="234" applyFont="1" applyFill="1" applyBorder="1" applyAlignment="1">
      <alignment horizontal="left" vertical="top"/>
    </xf>
    <xf numFmtId="0" fontId="112" fillId="48" borderId="0" xfId="234" applyFont="1" applyFill="1" applyAlignment="1">
      <alignment horizontal="left" vertical="top"/>
    </xf>
    <xf numFmtId="0" fontId="112" fillId="48" borderId="18" xfId="234" applyFont="1" applyFill="1" applyBorder="1" applyAlignment="1">
      <alignment horizontal="left" vertical="top"/>
    </xf>
    <xf numFmtId="0" fontId="112" fillId="48" borderId="20" xfId="234" applyFont="1" applyFill="1" applyBorder="1" applyAlignment="1">
      <alignment horizontal="left" vertical="top"/>
    </xf>
    <xf numFmtId="0" fontId="112" fillId="48" borderId="80" xfId="234" applyFont="1" applyFill="1" applyBorder="1" applyAlignment="1">
      <alignment horizontal="left" vertical="top"/>
    </xf>
    <xf numFmtId="0" fontId="112" fillId="48" borderId="81" xfId="234" applyFont="1" applyFill="1" applyBorder="1" applyAlignment="1">
      <alignment horizontal="left" vertical="top"/>
    </xf>
    <xf numFmtId="0" fontId="24" fillId="31" borderId="19" xfId="234" applyFont="1" applyFill="1" applyBorder="1" applyAlignment="1" applyProtection="1">
      <alignment horizontal="right" vertical="top" wrapText="1"/>
      <protection locked="0"/>
    </xf>
    <xf numFmtId="0" fontId="24" fillId="31" borderId="18" xfId="234" applyFont="1" applyFill="1" applyBorder="1" applyAlignment="1" applyProtection="1">
      <alignment horizontal="right" vertical="top" wrapText="1"/>
      <protection locked="0"/>
    </xf>
    <xf numFmtId="0" fontId="24" fillId="31" borderId="20" xfId="234" applyFont="1" applyFill="1" applyBorder="1" applyAlignment="1" applyProtection="1">
      <alignment horizontal="right" vertical="top" wrapText="1"/>
      <protection locked="0"/>
    </xf>
    <xf numFmtId="0" fontId="24" fillId="31" borderId="81" xfId="234" applyFont="1" applyFill="1" applyBorder="1" applyAlignment="1" applyProtection="1">
      <alignment horizontal="right" vertical="top" wrapText="1"/>
      <protection locked="0"/>
    </xf>
    <xf numFmtId="0" fontId="118" fillId="59" borderId="25" xfId="0" applyFont="1" applyFill="1" applyBorder="1" applyAlignment="1">
      <alignment horizontal="center"/>
    </xf>
    <xf numFmtId="0" fontId="118" fillId="59" borderId="21" xfId="0" applyFont="1" applyFill="1" applyBorder="1" applyAlignment="1">
      <alignment horizontal="center"/>
    </xf>
    <xf numFmtId="0" fontId="118" fillId="59" borderId="22" xfId="0" applyFont="1" applyFill="1" applyBorder="1" applyAlignment="1">
      <alignment horizontal="center"/>
    </xf>
    <xf numFmtId="0" fontId="103" fillId="56" borderId="25" xfId="234" applyFont="1" applyFill="1" applyBorder="1" applyAlignment="1" applyProtection="1">
      <alignment horizontal="center" vertical="center"/>
      <protection locked="0"/>
    </xf>
    <xf numFmtId="0" fontId="103" fillId="56" borderId="21" xfId="234" applyFont="1" applyFill="1" applyBorder="1" applyAlignment="1" applyProtection="1">
      <alignment horizontal="center" vertical="center"/>
      <protection locked="0"/>
    </xf>
    <xf numFmtId="0" fontId="103" fillId="56" borderId="22" xfId="234" applyFont="1" applyFill="1" applyBorder="1" applyAlignment="1" applyProtection="1">
      <alignment horizontal="center" vertical="center"/>
      <protection locked="0"/>
    </xf>
    <xf numFmtId="0" fontId="111" fillId="48" borderId="24" xfId="0" applyFont="1" applyFill="1" applyBorder="1" applyAlignment="1">
      <alignment horizontal="left" vertical="center"/>
    </xf>
    <xf numFmtId="0" fontId="111" fillId="48" borderId="23" xfId="0" applyFont="1" applyFill="1" applyBorder="1" applyAlignment="1">
      <alignment horizontal="left" vertical="center"/>
    </xf>
    <xf numFmtId="0" fontId="111" fillId="48" borderId="19" xfId="234" applyFont="1" applyFill="1" applyBorder="1" applyAlignment="1">
      <alignment horizontal="left" vertical="center"/>
    </xf>
    <xf numFmtId="0" fontId="111" fillId="48" borderId="18" xfId="234" applyFont="1" applyFill="1" applyBorder="1" applyAlignment="1">
      <alignment horizontal="left" vertical="center"/>
    </xf>
    <xf numFmtId="169" fontId="111" fillId="0" borderId="20" xfId="234" applyNumberFormat="1" applyFont="1" applyBorder="1" applyAlignment="1" applyProtection="1">
      <alignment horizontal="left" vertical="center"/>
      <protection locked="0"/>
    </xf>
    <xf numFmtId="169" fontId="111" fillId="0" borderId="81" xfId="234" applyNumberFormat="1" applyFont="1" applyBorder="1" applyAlignment="1" applyProtection="1">
      <alignment horizontal="left" vertical="center"/>
      <protection locked="0"/>
    </xf>
    <xf numFmtId="0" fontId="24" fillId="31" borderId="24" xfId="234" applyFont="1" applyFill="1" applyBorder="1" applyAlignment="1" applyProtection="1">
      <alignment horizontal="center" vertical="center" wrapText="1"/>
      <protection locked="0"/>
    </xf>
    <xf numFmtId="0" fontId="24" fillId="31" borderId="17" xfId="234" applyFont="1" applyFill="1" applyBorder="1" applyAlignment="1" applyProtection="1">
      <alignment horizontal="center" vertical="center" wrapText="1"/>
      <protection locked="0"/>
    </xf>
    <xf numFmtId="0" fontId="24" fillId="31" borderId="19" xfId="234" applyFont="1" applyFill="1" applyBorder="1" applyAlignment="1" applyProtection="1">
      <alignment horizontal="center" vertical="center" wrapText="1"/>
      <protection locked="0"/>
    </xf>
    <xf numFmtId="0" fontId="24" fillId="31" borderId="0" xfId="234" applyFont="1" applyFill="1" applyAlignment="1" applyProtection="1">
      <alignment horizontal="center" vertical="center" wrapText="1"/>
      <protection locked="0"/>
    </xf>
    <xf numFmtId="0" fontId="24" fillId="31" borderId="20" xfId="234" applyFont="1" applyFill="1" applyBorder="1" applyAlignment="1" applyProtection="1">
      <alignment horizontal="center" vertical="center" wrapText="1"/>
      <protection locked="0"/>
    </xf>
    <xf numFmtId="0" fontId="24" fillId="31" borderId="80" xfId="234" applyFont="1" applyFill="1" applyBorder="1" applyAlignment="1" applyProtection="1">
      <alignment horizontal="center" vertical="center" wrapText="1"/>
      <protection locked="0"/>
    </xf>
    <xf numFmtId="0" fontId="112" fillId="48" borderId="20" xfId="234" applyFont="1" applyFill="1" applyBorder="1" applyAlignment="1">
      <alignment horizontal="left" vertical="center"/>
    </xf>
    <xf numFmtId="0" fontId="112" fillId="48" borderId="81" xfId="234" applyFont="1" applyFill="1" applyBorder="1" applyAlignment="1">
      <alignment horizontal="left" vertical="center"/>
    </xf>
    <xf numFmtId="0" fontId="120" fillId="0" borderId="0" xfId="0" applyFont="1" applyAlignment="1">
      <alignment horizontal="right"/>
    </xf>
    <xf numFmtId="0" fontId="116" fillId="63" borderId="27" xfId="0" applyFont="1" applyFill="1" applyBorder="1" applyAlignment="1">
      <alignment horizontal="center"/>
    </xf>
    <xf numFmtId="0" fontId="104" fillId="36" borderId="0" xfId="0" applyFont="1" applyFill="1" applyAlignment="1">
      <alignment horizontal="center"/>
    </xf>
    <xf numFmtId="0" fontId="105" fillId="33" borderId="0" xfId="0" applyFont="1" applyFill="1" applyAlignment="1">
      <alignment horizontal="center"/>
    </xf>
    <xf numFmtId="0" fontId="80" fillId="30" borderId="0" xfId="0" applyFont="1" applyFill="1" applyAlignment="1">
      <alignment horizontal="center"/>
    </xf>
    <xf numFmtId="0" fontId="80" fillId="38" borderId="0" xfId="0" applyFont="1" applyFill="1" applyAlignment="1">
      <alignment horizontal="center"/>
    </xf>
    <xf numFmtId="0" fontId="116" fillId="54" borderId="0" xfId="0" applyFont="1" applyFill="1" applyAlignment="1">
      <alignment horizontal="center"/>
    </xf>
    <xf numFmtId="0" fontId="134" fillId="65" borderId="96" xfId="0" applyFont="1" applyFill="1" applyBorder="1" applyAlignment="1">
      <alignment horizontal="center"/>
    </xf>
    <xf numFmtId="0" fontId="134" fillId="65" borderId="66" xfId="0" applyFont="1" applyFill="1" applyBorder="1" applyAlignment="1">
      <alignment horizontal="center"/>
    </xf>
    <xf numFmtId="0" fontId="135" fillId="69" borderId="24" xfId="0" applyFont="1" applyFill="1" applyBorder="1" applyAlignment="1">
      <alignment horizontal="center" vertical="center"/>
    </xf>
    <xf numFmtId="0" fontId="135" fillId="69" borderId="17" xfId="0" applyFont="1" applyFill="1" applyBorder="1" applyAlignment="1">
      <alignment horizontal="center" vertical="center"/>
    </xf>
    <xf numFmtId="0" fontId="135" fillId="69" borderId="23" xfId="0" applyFont="1" applyFill="1" applyBorder="1" applyAlignment="1">
      <alignment horizontal="center" vertical="center"/>
    </xf>
    <xf numFmtId="0" fontId="134" fillId="64" borderId="25" xfId="0" applyFont="1" applyFill="1" applyBorder="1" applyAlignment="1">
      <alignment horizontal="center"/>
    </xf>
    <xf numFmtId="0" fontId="134" fillId="64" borderId="21" xfId="0" applyFont="1" applyFill="1" applyBorder="1" applyAlignment="1">
      <alignment horizontal="center"/>
    </xf>
    <xf numFmtId="0" fontId="134" fillId="64" borderId="22" xfId="0" applyFont="1" applyFill="1" applyBorder="1" applyAlignment="1">
      <alignment horizontal="center"/>
    </xf>
    <xf numFmtId="0" fontId="0" fillId="66" borderId="105" xfId="0" applyFill="1" applyBorder="1" applyAlignment="1">
      <alignment horizontal="center"/>
    </xf>
    <xf numFmtId="0" fontId="0" fillId="66" borderId="54" xfId="0" applyFill="1" applyBorder="1" applyAlignment="1">
      <alignment horizontal="center"/>
    </xf>
    <xf numFmtId="0" fontId="134" fillId="65" borderId="13" xfId="0" applyFont="1" applyFill="1" applyBorder="1" applyAlignment="1">
      <alignment horizontal="center" vertical="center"/>
    </xf>
    <xf numFmtId="0" fontId="134" fillId="65" borderId="65" xfId="0" applyFont="1" applyFill="1" applyBorder="1" applyAlignment="1">
      <alignment horizontal="center" vertical="center"/>
    </xf>
    <xf numFmtId="0" fontId="134" fillId="65" borderId="101" xfId="0" applyFont="1" applyFill="1" applyBorder="1" applyAlignment="1">
      <alignment horizontal="center"/>
    </xf>
    <xf numFmtId="0" fontId="134" fillId="65" borderId="103" xfId="0" applyFont="1" applyFill="1" applyBorder="1" applyAlignment="1">
      <alignment horizontal="center"/>
    </xf>
    <xf numFmtId="0" fontId="134" fillId="65" borderId="105" xfId="0" applyFont="1" applyFill="1" applyBorder="1" applyAlignment="1">
      <alignment horizontal="center"/>
    </xf>
    <xf numFmtId="0" fontId="134" fillId="65" borderId="54" xfId="0" applyFont="1" applyFill="1" applyBorder="1" applyAlignment="1">
      <alignment horizontal="center"/>
    </xf>
    <xf numFmtId="0" fontId="100" fillId="0" borderId="185" xfId="0" applyFont="1" applyBorder="1" applyAlignment="1">
      <alignment horizontal="left" vertical="center"/>
    </xf>
    <xf numFmtId="0" fontId="100" fillId="0" borderId="178" xfId="0" applyFont="1" applyBorder="1" applyAlignment="1">
      <alignment horizontal="left" vertical="center"/>
    </xf>
    <xf numFmtId="0" fontId="100" fillId="0" borderId="184" xfId="0" applyFont="1" applyBorder="1" applyAlignment="1">
      <alignment horizontal="left" vertical="center"/>
    </xf>
    <xf numFmtId="0" fontId="100" fillId="0" borderId="172" xfId="0" applyFont="1" applyBorder="1" applyAlignment="1">
      <alignment horizontal="left" vertical="center"/>
    </xf>
    <xf numFmtId="0" fontId="100" fillId="0" borderId="173" xfId="0" applyFont="1" applyBorder="1" applyAlignment="1">
      <alignment horizontal="left" vertical="center"/>
    </xf>
    <xf numFmtId="0" fontId="100" fillId="0" borderId="176" xfId="0" applyFont="1" applyBorder="1" applyAlignment="1">
      <alignment horizontal="left" vertical="center"/>
    </xf>
    <xf numFmtId="0" fontId="143" fillId="72" borderId="149" xfId="0" applyFont="1" applyFill="1" applyBorder="1" applyAlignment="1">
      <alignment horizontal="center" vertical="center"/>
    </xf>
    <xf numFmtId="0" fontId="143" fillId="72" borderId="196" xfId="0" applyFont="1" applyFill="1" applyBorder="1" applyAlignment="1">
      <alignment horizontal="center" vertical="center"/>
    </xf>
    <xf numFmtId="0" fontId="143" fillId="72" borderId="197" xfId="0" applyFont="1" applyFill="1" applyBorder="1" applyAlignment="1">
      <alignment horizontal="center" vertical="center"/>
    </xf>
    <xf numFmtId="0" fontId="100" fillId="0" borderId="13" xfId="0" applyFont="1" applyBorder="1" applyAlignment="1">
      <alignment horizontal="left" vertical="center"/>
    </xf>
    <xf numFmtId="0" fontId="100" fillId="0" borderId="47" xfId="0" applyFont="1" applyBorder="1" applyAlignment="1">
      <alignment horizontal="left" vertical="center"/>
    </xf>
    <xf numFmtId="0" fontId="100" fillId="0" borderId="65" xfId="0" applyFont="1" applyBorder="1" applyAlignment="1">
      <alignment horizontal="left" vertical="center"/>
    </xf>
    <xf numFmtId="0" fontId="104" fillId="49" borderId="25" xfId="0" applyFont="1" applyFill="1" applyBorder="1" applyAlignment="1">
      <alignment horizontal="center"/>
    </xf>
    <xf numFmtId="0" fontId="104" fillId="49" borderId="22" xfId="0" applyFont="1" applyFill="1" applyBorder="1" applyAlignment="1">
      <alignment horizontal="center"/>
    </xf>
    <xf numFmtId="0" fontId="104" fillId="49" borderId="21" xfId="0" applyFont="1" applyFill="1" applyBorder="1" applyAlignment="1">
      <alignment horizontal="center"/>
    </xf>
    <xf numFmtId="0" fontId="93" fillId="0" borderId="0" xfId="0" applyFont="1" applyAlignment="1" applyProtection="1">
      <alignment horizontal="left"/>
      <protection locked="0"/>
    </xf>
    <xf numFmtId="0" fontId="26" fillId="31" borderId="20" xfId="234" applyFont="1" applyFill="1" applyBorder="1" applyAlignment="1" applyProtection="1">
      <alignment horizontal="center" vertical="center"/>
      <protection locked="0"/>
    </xf>
    <xf numFmtId="0" fontId="26" fillId="31" borderId="39" xfId="234" applyFont="1" applyFill="1" applyBorder="1" applyAlignment="1" applyProtection="1">
      <alignment horizontal="center" vertical="center"/>
      <protection locked="0"/>
    </xf>
    <xf numFmtId="0" fontId="24" fillId="31" borderId="23" xfId="234" applyFont="1" applyFill="1" applyBorder="1" applyAlignment="1" applyProtection="1">
      <alignment horizontal="center" vertical="center" wrapText="1"/>
      <protection locked="0"/>
    </xf>
    <xf numFmtId="0" fontId="24" fillId="31" borderId="18" xfId="234" applyFont="1" applyFill="1" applyBorder="1" applyAlignment="1" applyProtection="1">
      <alignment horizontal="center" vertical="center" wrapText="1"/>
      <protection locked="0"/>
    </xf>
    <xf numFmtId="0" fontId="108" fillId="0" borderId="24" xfId="234" applyFont="1" applyBorder="1" applyAlignment="1" applyProtection="1">
      <alignment horizontal="center" vertical="center"/>
      <protection locked="0"/>
    </xf>
    <xf numFmtId="0" fontId="108" fillId="0" borderId="19" xfId="234" applyFont="1" applyBorder="1" applyAlignment="1" applyProtection="1">
      <alignment horizontal="center" vertical="center"/>
      <protection locked="0"/>
    </xf>
    <xf numFmtId="0" fontId="108" fillId="0" borderId="20" xfId="234" applyFont="1" applyBorder="1" applyAlignment="1" applyProtection="1">
      <alignment horizontal="center" vertical="center"/>
      <protection locked="0"/>
    </xf>
    <xf numFmtId="0" fontId="112" fillId="48" borderId="39" xfId="234" applyFont="1" applyFill="1" applyBorder="1" applyAlignment="1">
      <alignment horizontal="left" vertical="center"/>
    </xf>
    <xf numFmtId="0" fontId="112" fillId="48" borderId="40" xfId="234" applyFont="1" applyFill="1" applyBorder="1" applyAlignment="1">
      <alignment horizontal="left" vertical="center"/>
    </xf>
    <xf numFmtId="0" fontId="119" fillId="48" borderId="24" xfId="234" applyFont="1" applyFill="1" applyBorder="1" applyAlignment="1">
      <alignment horizontal="left" vertical="center"/>
    </xf>
    <xf numFmtId="0" fontId="119" fillId="48" borderId="23" xfId="234" applyFont="1" applyFill="1" applyBorder="1" applyAlignment="1">
      <alignment horizontal="left" vertical="center"/>
    </xf>
    <xf numFmtId="0" fontId="119" fillId="48" borderId="19" xfId="234" applyFont="1" applyFill="1" applyBorder="1" applyAlignment="1">
      <alignment horizontal="left" vertical="center"/>
    </xf>
    <xf numFmtId="0" fontId="119" fillId="48" borderId="18" xfId="234" applyFont="1" applyFill="1" applyBorder="1" applyAlignment="1">
      <alignment horizontal="left" vertical="center"/>
    </xf>
    <xf numFmtId="14" fontId="119" fillId="33" borderId="19" xfId="234" applyNumberFormat="1" applyFont="1" applyFill="1" applyBorder="1" applyAlignment="1">
      <alignment horizontal="left" vertical="center"/>
    </xf>
    <xf numFmtId="14" fontId="119" fillId="33" borderId="18" xfId="234" applyNumberFormat="1" applyFont="1" applyFill="1" applyBorder="1" applyAlignment="1">
      <alignment horizontal="left" vertical="center"/>
    </xf>
    <xf numFmtId="0" fontId="119" fillId="48" borderId="20" xfId="234" applyFont="1" applyFill="1" applyBorder="1" applyAlignment="1">
      <alignment horizontal="left" vertical="center"/>
    </xf>
    <xf numFmtId="0" fontId="119" fillId="48" borderId="40" xfId="234" applyFont="1" applyFill="1" applyBorder="1" applyAlignment="1">
      <alignment horizontal="left" vertical="center"/>
    </xf>
    <xf numFmtId="0" fontId="103" fillId="56" borderId="25" xfId="234" applyFont="1" applyFill="1" applyBorder="1" applyAlignment="1">
      <alignment horizontal="center" vertical="center"/>
    </xf>
    <xf numFmtId="0" fontId="103" fillId="56" borderId="21" xfId="234" applyFont="1" applyFill="1" applyBorder="1" applyAlignment="1">
      <alignment horizontal="center" vertical="center"/>
    </xf>
    <xf numFmtId="0" fontId="26" fillId="31" borderId="25" xfId="234" applyFont="1" applyFill="1" applyBorder="1" applyAlignment="1">
      <alignment horizontal="center" vertical="center"/>
    </xf>
    <xf numFmtId="0" fontId="26" fillId="31" borderId="21" xfId="234" applyFont="1" applyFill="1" applyBorder="1" applyAlignment="1">
      <alignment horizontal="center" vertical="center"/>
    </xf>
    <xf numFmtId="0" fontId="103" fillId="31" borderId="22" xfId="234" applyFont="1" applyFill="1" applyBorder="1" applyAlignment="1">
      <alignment horizontal="center" vertical="center"/>
    </xf>
    <xf numFmtId="0" fontId="24" fillId="31" borderId="24" xfId="234" applyFont="1" applyFill="1" applyBorder="1" applyAlignment="1">
      <alignment horizontal="center" vertical="center" wrapText="1"/>
    </xf>
    <xf numFmtId="0" fontId="24" fillId="31" borderId="23" xfId="234" applyFont="1" applyFill="1" applyBorder="1" applyAlignment="1">
      <alignment horizontal="center" vertical="center" wrapText="1"/>
    </xf>
    <xf numFmtId="0" fontId="24" fillId="31" borderId="19" xfId="234" applyFont="1" applyFill="1" applyBorder="1" applyAlignment="1">
      <alignment horizontal="center" vertical="center" wrapText="1"/>
    </xf>
    <xf numFmtId="0" fontId="24" fillId="31" borderId="18" xfId="234" applyFont="1" applyFill="1" applyBorder="1" applyAlignment="1">
      <alignment horizontal="center" vertical="center" wrapText="1"/>
    </xf>
    <xf numFmtId="0" fontId="24" fillId="31" borderId="20" xfId="234" applyFont="1" applyFill="1" applyBorder="1" applyAlignment="1">
      <alignment horizontal="center" vertical="center" wrapText="1"/>
    </xf>
    <xf numFmtId="0" fontId="24" fillId="31" borderId="81" xfId="234" applyFont="1" applyFill="1" applyBorder="1" applyAlignment="1">
      <alignment horizontal="center" vertical="center" wrapText="1"/>
    </xf>
    <xf numFmtId="0" fontId="0" fillId="0" borderId="0" xfId="0" applyNumberFormat="1"/>
    <xf numFmtId="0" fontId="0" fillId="0" borderId="0" xfId="0" applyNumberFormat="1" applyAlignment="1">
      <alignment horizontal="center"/>
    </xf>
  </cellXfs>
  <cellStyles count="251">
    <cellStyle name="# ##0" xfId="88" xr:uid="{00000000-0005-0000-0000-000000000000}"/>
    <cellStyle name="%" xfId="89" xr:uid="{00000000-0005-0000-0000-000001000000}"/>
    <cellStyle name="% 2" xfId="226" xr:uid="{00000000-0005-0000-0000-000002000000}"/>
    <cellStyle name="_Schedule A_Electronics metro sale_Final" xfId="90" xr:uid="{00000000-0005-0000-0000-000003000000}"/>
    <cellStyle name="0%" xfId="91" xr:uid="{00000000-0005-0000-0000-000004000000}"/>
    <cellStyle name="0,0_x000d__x000a_NA_x000d__x000a_" xfId="92" xr:uid="{00000000-0005-0000-0000-000005000000}"/>
    <cellStyle name="20% - Accent1 2" xfId="3" xr:uid="{00000000-0005-0000-0000-000006000000}"/>
    <cellStyle name="20% - Accent1 2 2" xfId="4" xr:uid="{00000000-0005-0000-0000-000007000000}"/>
    <cellStyle name="20% - Accent1 3" xfId="5" xr:uid="{00000000-0005-0000-0000-000008000000}"/>
    <cellStyle name="20% - Accent1 4" xfId="2" xr:uid="{00000000-0005-0000-0000-000009000000}"/>
    <cellStyle name="20% - Accent2 2" xfId="7" xr:uid="{00000000-0005-0000-0000-00000A000000}"/>
    <cellStyle name="20% - Accent2 2 2" xfId="8" xr:uid="{00000000-0005-0000-0000-00000B000000}"/>
    <cellStyle name="20% - Accent2 3" xfId="9" xr:uid="{00000000-0005-0000-0000-00000C000000}"/>
    <cellStyle name="20% - Accent2 4" xfId="6" xr:uid="{00000000-0005-0000-0000-00000D000000}"/>
    <cellStyle name="20% - Accent3 2" xfId="11" xr:uid="{00000000-0005-0000-0000-00000E000000}"/>
    <cellStyle name="20% - Accent3 2 2" xfId="12" xr:uid="{00000000-0005-0000-0000-00000F000000}"/>
    <cellStyle name="20% - Accent3 3" xfId="13" xr:uid="{00000000-0005-0000-0000-000010000000}"/>
    <cellStyle name="20% - Accent3 4" xfId="10" xr:uid="{00000000-0005-0000-0000-000011000000}"/>
    <cellStyle name="20% - Accent4 2" xfId="15" xr:uid="{00000000-0005-0000-0000-000012000000}"/>
    <cellStyle name="20% - Accent4 2 2" xfId="16" xr:uid="{00000000-0005-0000-0000-000013000000}"/>
    <cellStyle name="20% - Accent4 3" xfId="17" xr:uid="{00000000-0005-0000-0000-000014000000}"/>
    <cellStyle name="20% - Accent4 4" xfId="14" xr:uid="{00000000-0005-0000-0000-000015000000}"/>
    <cellStyle name="20% - Accent5 2" xfId="19" xr:uid="{00000000-0005-0000-0000-000016000000}"/>
    <cellStyle name="20% - Accent5 2 2" xfId="20" xr:uid="{00000000-0005-0000-0000-000017000000}"/>
    <cellStyle name="20% - Accent5 3" xfId="21" xr:uid="{00000000-0005-0000-0000-000018000000}"/>
    <cellStyle name="20% - Accent5 4" xfId="18" xr:uid="{00000000-0005-0000-0000-000019000000}"/>
    <cellStyle name="20% - Accent6 2" xfId="23" xr:uid="{00000000-0005-0000-0000-00001A000000}"/>
    <cellStyle name="20% - Accent6 2 2" xfId="24" xr:uid="{00000000-0005-0000-0000-00001B000000}"/>
    <cellStyle name="20% - Accent6 3" xfId="25" xr:uid="{00000000-0005-0000-0000-00001C000000}"/>
    <cellStyle name="20% - Accent6 4" xfId="22" xr:uid="{00000000-0005-0000-0000-00001D000000}"/>
    <cellStyle name="40% - Accent1 2" xfId="27" xr:uid="{00000000-0005-0000-0000-00001E000000}"/>
    <cellStyle name="40% - Accent1 2 2" xfId="28" xr:uid="{00000000-0005-0000-0000-00001F000000}"/>
    <cellStyle name="40% - Accent1 3" xfId="29" xr:uid="{00000000-0005-0000-0000-000020000000}"/>
    <cellStyle name="40% - Accent1 4" xfId="26" xr:uid="{00000000-0005-0000-0000-000021000000}"/>
    <cellStyle name="40% - Accent2 2" xfId="31" xr:uid="{00000000-0005-0000-0000-000022000000}"/>
    <cellStyle name="40% - Accent2 2 2" xfId="32" xr:uid="{00000000-0005-0000-0000-000023000000}"/>
    <cellStyle name="40% - Accent2 3" xfId="33" xr:uid="{00000000-0005-0000-0000-000024000000}"/>
    <cellStyle name="40% - Accent2 4" xfId="30" xr:uid="{00000000-0005-0000-0000-000025000000}"/>
    <cellStyle name="40% - Accent3 2" xfId="35" xr:uid="{00000000-0005-0000-0000-000026000000}"/>
    <cellStyle name="40% - Accent3 2 2" xfId="36" xr:uid="{00000000-0005-0000-0000-000027000000}"/>
    <cellStyle name="40% - Accent3 3" xfId="37" xr:uid="{00000000-0005-0000-0000-000028000000}"/>
    <cellStyle name="40% - Accent3 4" xfId="34" xr:uid="{00000000-0005-0000-0000-000029000000}"/>
    <cellStyle name="40% - Accent4 2" xfId="39" xr:uid="{00000000-0005-0000-0000-00002A000000}"/>
    <cellStyle name="40% - Accent4 2 2" xfId="40" xr:uid="{00000000-0005-0000-0000-00002B000000}"/>
    <cellStyle name="40% - Accent4 3" xfId="41" xr:uid="{00000000-0005-0000-0000-00002C000000}"/>
    <cellStyle name="40% - Accent4 4" xfId="38" xr:uid="{00000000-0005-0000-0000-00002D000000}"/>
    <cellStyle name="40% - Accent5 2" xfId="43" xr:uid="{00000000-0005-0000-0000-00002E000000}"/>
    <cellStyle name="40% - Accent5 2 2" xfId="44" xr:uid="{00000000-0005-0000-0000-00002F000000}"/>
    <cellStyle name="40% - Accent5 3" xfId="45" xr:uid="{00000000-0005-0000-0000-000030000000}"/>
    <cellStyle name="40% - Accent5 4" xfId="42" xr:uid="{00000000-0005-0000-0000-000031000000}"/>
    <cellStyle name="40% - Accent6 2" xfId="47" xr:uid="{00000000-0005-0000-0000-000032000000}"/>
    <cellStyle name="40% - Accent6 2 2" xfId="48" xr:uid="{00000000-0005-0000-0000-000033000000}"/>
    <cellStyle name="40% - Accent6 3" xfId="49" xr:uid="{00000000-0005-0000-0000-000034000000}"/>
    <cellStyle name="40% - Accent6 4" xfId="46" xr:uid="{00000000-0005-0000-0000-000035000000}"/>
    <cellStyle name="44" xfId="93" xr:uid="{00000000-0005-0000-0000-000036000000}"/>
    <cellStyle name="60% - Accent1 2" xfId="50" xr:uid="{00000000-0005-0000-0000-000037000000}"/>
    <cellStyle name="60% - Accent2 2" xfId="51" xr:uid="{00000000-0005-0000-0000-000038000000}"/>
    <cellStyle name="60% - Accent3 2" xfId="52" xr:uid="{00000000-0005-0000-0000-000039000000}"/>
    <cellStyle name="60% - Accent4 2" xfId="53" xr:uid="{00000000-0005-0000-0000-00003A000000}"/>
    <cellStyle name="60% - Accent5 2" xfId="54" xr:uid="{00000000-0005-0000-0000-00003B000000}"/>
    <cellStyle name="60% - Accent6 2" xfId="55" xr:uid="{00000000-0005-0000-0000-00003C000000}"/>
    <cellStyle name="Accent1 2" xfId="56" xr:uid="{00000000-0005-0000-0000-00003D000000}"/>
    <cellStyle name="Accent2 2" xfId="57" xr:uid="{00000000-0005-0000-0000-00003E000000}"/>
    <cellStyle name="Accent3 2" xfId="58" xr:uid="{00000000-0005-0000-0000-00003F000000}"/>
    <cellStyle name="Accent4 2" xfId="59" xr:uid="{00000000-0005-0000-0000-000040000000}"/>
    <cellStyle name="Accent5 2" xfId="60" xr:uid="{00000000-0005-0000-0000-000041000000}"/>
    <cellStyle name="Accent6 2" xfId="61" xr:uid="{00000000-0005-0000-0000-000042000000}"/>
    <cellStyle name="arr" xfId="94" xr:uid="{00000000-0005-0000-0000-000043000000}"/>
    <cellStyle name="Bad 2" xfId="62" xr:uid="{00000000-0005-0000-0000-000044000000}"/>
    <cellStyle name="Body" xfId="95" xr:uid="{00000000-0005-0000-0000-000045000000}"/>
    <cellStyle name="Calc Currency (0)" xfId="96" xr:uid="{00000000-0005-0000-0000-000046000000}"/>
    <cellStyle name="Calculation 2" xfId="63" xr:uid="{00000000-0005-0000-0000-000047000000}"/>
    <cellStyle name="Check Cell 2" xfId="64" xr:uid="{00000000-0005-0000-0000-000048000000}"/>
    <cellStyle name="Comma" xfId="244" builtinId="3"/>
    <cellStyle name="Comma  - Style1" xfId="97" xr:uid="{00000000-0005-0000-0000-00004A000000}"/>
    <cellStyle name="Comma  - Style2" xfId="98" xr:uid="{00000000-0005-0000-0000-00004B000000}"/>
    <cellStyle name="Comma  - Style3" xfId="99" xr:uid="{00000000-0005-0000-0000-00004C000000}"/>
    <cellStyle name="Comma  - Style4" xfId="100" xr:uid="{00000000-0005-0000-0000-00004D000000}"/>
    <cellStyle name="Comma  - Style5" xfId="101" xr:uid="{00000000-0005-0000-0000-00004E000000}"/>
    <cellStyle name="Comma  - Style6" xfId="102" xr:uid="{00000000-0005-0000-0000-00004F000000}"/>
    <cellStyle name="Comma  - Style7" xfId="103" xr:uid="{00000000-0005-0000-0000-000050000000}"/>
    <cellStyle name="Comma  - Style8" xfId="104" xr:uid="{00000000-0005-0000-0000-000051000000}"/>
    <cellStyle name="Comma 0" xfId="105" xr:uid="{00000000-0005-0000-0000-000052000000}"/>
    <cellStyle name="Comma 2" xfId="106" xr:uid="{00000000-0005-0000-0000-000053000000}"/>
    <cellStyle name="Comma 3" xfId="87" xr:uid="{00000000-0005-0000-0000-000054000000}"/>
    <cellStyle name="Comma 3 2" xfId="227" xr:uid="{00000000-0005-0000-0000-000055000000}"/>
    <cellStyle name="Comma 4" xfId="222" xr:uid="{00000000-0005-0000-0000-000056000000}"/>
    <cellStyle name="Comma 4 2" xfId="228" xr:uid="{00000000-0005-0000-0000-000057000000}"/>
    <cellStyle name="Comma0" xfId="107" xr:uid="{00000000-0005-0000-0000-000058000000}"/>
    <cellStyle name="Copied" xfId="108" xr:uid="{00000000-0005-0000-0000-000059000000}"/>
    <cellStyle name="Cover Date" xfId="109" xr:uid="{00000000-0005-0000-0000-00005A000000}"/>
    <cellStyle name="Cover Subtitle" xfId="110" xr:uid="{00000000-0005-0000-0000-00005B000000}"/>
    <cellStyle name="Cover Title" xfId="111" xr:uid="{00000000-0005-0000-0000-00005C000000}"/>
    <cellStyle name="Currency" xfId="86" builtinId="4"/>
    <cellStyle name="Currency 0" xfId="112" xr:uid="{00000000-0005-0000-0000-00005E000000}"/>
    <cellStyle name="Currency 2" xfId="113" xr:uid="{00000000-0005-0000-0000-00005F000000}"/>
    <cellStyle name="Currency 3" xfId="224" xr:uid="{00000000-0005-0000-0000-000060000000}"/>
    <cellStyle name="Currency0" xfId="114" xr:uid="{00000000-0005-0000-0000-000061000000}"/>
    <cellStyle name="d mmm yy" xfId="115" xr:uid="{00000000-0005-0000-0000-000062000000}"/>
    <cellStyle name="Date" xfId="116" xr:uid="{00000000-0005-0000-0000-000063000000}"/>
    <cellStyle name="Date Aligned" xfId="117" xr:uid="{00000000-0005-0000-0000-000064000000}"/>
    <cellStyle name="Date_Pricing Schedule - Cost Models Opt 3 181208" xfId="118" xr:uid="{00000000-0005-0000-0000-000065000000}"/>
    <cellStyle name="Dotted Line" xfId="119" xr:uid="{00000000-0005-0000-0000-000066000000}"/>
    <cellStyle name="Entered" xfId="120" xr:uid="{00000000-0005-0000-0000-000067000000}"/>
    <cellStyle name="Euro" xfId="121" xr:uid="{00000000-0005-0000-0000-000068000000}"/>
    <cellStyle name="Euro 2" xfId="229" xr:uid="{00000000-0005-0000-0000-000069000000}"/>
    <cellStyle name="Explanatory Text 2" xfId="65" xr:uid="{00000000-0005-0000-0000-00006A000000}"/>
    <cellStyle name="F2" xfId="122" xr:uid="{00000000-0005-0000-0000-00006B000000}"/>
    <cellStyle name="F3" xfId="123" xr:uid="{00000000-0005-0000-0000-00006C000000}"/>
    <cellStyle name="F4" xfId="124" xr:uid="{00000000-0005-0000-0000-00006D000000}"/>
    <cellStyle name="F5" xfId="125" xr:uid="{00000000-0005-0000-0000-00006E000000}"/>
    <cellStyle name="F6" xfId="126" xr:uid="{00000000-0005-0000-0000-00006F000000}"/>
    <cellStyle name="F7" xfId="127" xr:uid="{00000000-0005-0000-0000-000070000000}"/>
    <cellStyle name="F8" xfId="128" xr:uid="{00000000-0005-0000-0000-000071000000}"/>
    <cellStyle name="Fixed" xfId="129" xr:uid="{00000000-0005-0000-0000-000072000000}"/>
    <cellStyle name="Footer SBILogo1" xfId="130" xr:uid="{00000000-0005-0000-0000-000073000000}"/>
    <cellStyle name="Footer SBILogo2" xfId="131" xr:uid="{00000000-0005-0000-0000-000074000000}"/>
    <cellStyle name="Footnote" xfId="132" xr:uid="{00000000-0005-0000-0000-000075000000}"/>
    <cellStyle name="Footnote Reference" xfId="133" xr:uid="{00000000-0005-0000-0000-000076000000}"/>
    <cellStyle name="Footnote_Fixed MobileV1" xfId="134" xr:uid="{00000000-0005-0000-0000-000077000000}"/>
    <cellStyle name="Good 2" xfId="66" xr:uid="{00000000-0005-0000-0000-000078000000}"/>
    <cellStyle name="Grey" xfId="135" xr:uid="{00000000-0005-0000-0000-000079000000}"/>
    <cellStyle name="Hard Percent" xfId="136" xr:uid="{00000000-0005-0000-0000-00007A000000}"/>
    <cellStyle name="Header" xfId="137" xr:uid="{00000000-0005-0000-0000-00007B000000}"/>
    <cellStyle name="Header Draft Stamp" xfId="138" xr:uid="{00000000-0005-0000-0000-00007C000000}"/>
    <cellStyle name="Header_Fixed MobileV1" xfId="139" xr:uid="{00000000-0005-0000-0000-00007D000000}"/>
    <cellStyle name="Header1" xfId="140" xr:uid="{00000000-0005-0000-0000-00007E000000}"/>
    <cellStyle name="Header2" xfId="141" xr:uid="{00000000-0005-0000-0000-00007F000000}"/>
    <cellStyle name="Header2 2" xfId="245" xr:uid="{00000000-0005-0000-0000-000080000000}"/>
    <cellStyle name="Heading 1 2" xfId="67" xr:uid="{00000000-0005-0000-0000-000081000000}"/>
    <cellStyle name="Heading 1 Above" xfId="142" xr:uid="{00000000-0005-0000-0000-000082000000}"/>
    <cellStyle name="Heading 1+" xfId="143" xr:uid="{00000000-0005-0000-0000-000083000000}"/>
    <cellStyle name="Heading 2 2" xfId="68" xr:uid="{00000000-0005-0000-0000-000084000000}"/>
    <cellStyle name="Heading 2 Below" xfId="144" xr:uid="{00000000-0005-0000-0000-000085000000}"/>
    <cellStyle name="Heading 2+" xfId="145" xr:uid="{00000000-0005-0000-0000-000086000000}"/>
    <cellStyle name="Heading 3 2" xfId="69" xr:uid="{00000000-0005-0000-0000-000087000000}"/>
    <cellStyle name="Heading 3 2 2" xfId="230" xr:uid="{00000000-0005-0000-0000-000088000000}"/>
    <cellStyle name="Heading 3+" xfId="146" xr:uid="{00000000-0005-0000-0000-000089000000}"/>
    <cellStyle name="Heading 4 2" xfId="70" xr:uid="{00000000-0005-0000-0000-00008A000000}"/>
    <cellStyle name="Heading1" xfId="147" xr:uid="{00000000-0005-0000-0000-00008B000000}"/>
    <cellStyle name="Heading2" xfId="148" xr:uid="{00000000-0005-0000-0000-00008C000000}"/>
    <cellStyle name="Hyperlink 2" xfId="218" xr:uid="{00000000-0005-0000-0000-00008D000000}"/>
    <cellStyle name="Inmatning" xfId="149" xr:uid="{00000000-0005-0000-0000-00008E000000}"/>
    <cellStyle name="Input [yellow]" xfId="150" xr:uid="{00000000-0005-0000-0000-00008F000000}"/>
    <cellStyle name="Input [yellow] 2" xfId="246" xr:uid="{00000000-0005-0000-0000-000090000000}"/>
    <cellStyle name="Input 2" xfId="71" xr:uid="{00000000-0005-0000-0000-000091000000}"/>
    <cellStyle name="Input Normal" xfId="151" xr:uid="{00000000-0005-0000-0000-000092000000}"/>
    <cellStyle name="Input Percent" xfId="152" xr:uid="{00000000-0005-0000-0000-000093000000}"/>
    <cellStyle name="input value" xfId="153" xr:uid="{00000000-0005-0000-0000-000094000000}"/>
    <cellStyle name="InputCurrency" xfId="154" xr:uid="{00000000-0005-0000-0000-000095000000}"/>
    <cellStyle name="InputCurrency 2" xfId="231" xr:uid="{00000000-0005-0000-0000-000096000000}"/>
    <cellStyle name="InputNormal" xfId="155" xr:uid="{00000000-0005-0000-0000-000097000000}"/>
    <cellStyle name="InputNormal 2" xfId="232" xr:uid="{00000000-0005-0000-0000-000098000000}"/>
    <cellStyle name="ITL" xfId="156" xr:uid="{00000000-0005-0000-0000-000099000000}"/>
    <cellStyle name="Komma [0]_rel-sl" xfId="157" xr:uid="{00000000-0005-0000-0000-00009A000000}"/>
    <cellStyle name="Komma_rel-sl" xfId="158" xr:uid="{00000000-0005-0000-0000-00009B000000}"/>
    <cellStyle name="Linked Cell 2" xfId="72" xr:uid="{00000000-0005-0000-0000-00009C000000}"/>
    <cellStyle name="Migliaia (0)_ P-Tirren" xfId="159" xr:uid="{00000000-0005-0000-0000-00009D000000}"/>
    <cellStyle name="Migliaia_BP_RM_fine" xfId="160" xr:uid="{00000000-0005-0000-0000-00009E000000}"/>
    <cellStyle name="Millares [0]_17septiembre_con _costes.XLS Gráfico 1" xfId="161" xr:uid="{00000000-0005-0000-0000-00009F000000}"/>
    <cellStyle name="Millares_17septiembre_con _costes.XLS Gráfico 1" xfId="162" xr:uid="{00000000-0005-0000-0000-0000A0000000}"/>
    <cellStyle name="Milliers [0]_Depreciation" xfId="163" xr:uid="{00000000-0005-0000-0000-0000A1000000}"/>
    <cellStyle name="Milliers_Depreciation" xfId="164" xr:uid="{00000000-0005-0000-0000-0000A2000000}"/>
    <cellStyle name="Millions" xfId="165" xr:uid="{00000000-0005-0000-0000-0000A3000000}"/>
    <cellStyle name="Millions $" xfId="166" xr:uid="{00000000-0005-0000-0000-0000A4000000}"/>
    <cellStyle name="Moneda [0]_17septiembre_con _costes.XLS Gráfico 1" xfId="167" xr:uid="{00000000-0005-0000-0000-0000A5000000}"/>
    <cellStyle name="Moneda_17septiembre_con _costes.XLS Gráfico 1" xfId="168" xr:uid="{00000000-0005-0000-0000-0000A6000000}"/>
    <cellStyle name="Monétaire [0]_Depreciation" xfId="169" xr:uid="{00000000-0005-0000-0000-0000A7000000}"/>
    <cellStyle name="Monétaire_Depreciation" xfId="170" xr:uid="{00000000-0005-0000-0000-0000A8000000}"/>
    <cellStyle name="Multiple" xfId="171" xr:uid="{00000000-0005-0000-0000-0000A9000000}"/>
    <cellStyle name="Neutral 2" xfId="73" xr:uid="{00000000-0005-0000-0000-0000AA000000}"/>
    <cellStyle name="no dec" xfId="172" xr:uid="{00000000-0005-0000-0000-0000AB000000}"/>
    <cellStyle name="Normal" xfId="0" builtinId="0"/>
    <cellStyle name="Normal - Style1" xfId="173" xr:uid="{00000000-0005-0000-0000-0000AD000000}"/>
    <cellStyle name="Normal 2" xfId="74" xr:uid="{00000000-0005-0000-0000-0000AE000000}"/>
    <cellStyle name="Normal 2 2" xfId="75" xr:uid="{00000000-0005-0000-0000-0000AF000000}"/>
    <cellStyle name="Normal 2 2 2" xfId="234" xr:uid="{00000000-0005-0000-0000-0000B0000000}"/>
    <cellStyle name="Normal 2 3" xfId="76" xr:uid="{00000000-0005-0000-0000-0000B1000000}"/>
    <cellStyle name="Normal 2 3 2" xfId="235" xr:uid="{00000000-0005-0000-0000-0000B2000000}"/>
    <cellStyle name="Normal 2 4" xfId="233" xr:uid="{00000000-0005-0000-0000-0000B3000000}"/>
    <cellStyle name="Normal 3" xfId="77" xr:uid="{00000000-0005-0000-0000-0000B4000000}"/>
    <cellStyle name="Normal 3 2" xfId="217" xr:uid="{00000000-0005-0000-0000-0000B5000000}"/>
    <cellStyle name="Normal 4" xfId="78" xr:uid="{00000000-0005-0000-0000-0000B6000000}"/>
    <cellStyle name="Normal 4 2" xfId="79" xr:uid="{00000000-0005-0000-0000-0000B7000000}"/>
    <cellStyle name="Normal 4 2 2" xfId="237" xr:uid="{00000000-0005-0000-0000-0000B8000000}"/>
    <cellStyle name="Normal 4 3" xfId="236" xr:uid="{00000000-0005-0000-0000-0000B9000000}"/>
    <cellStyle name="Normal 5" xfId="1" xr:uid="{00000000-0005-0000-0000-0000BA000000}"/>
    <cellStyle name="Normal 5 2" xfId="219" xr:uid="{00000000-0005-0000-0000-0000BB000000}"/>
    <cellStyle name="Normal 5 2 2" xfId="238" xr:uid="{00000000-0005-0000-0000-0000BC000000}"/>
    <cellStyle name="Normal 6" xfId="223" xr:uid="{00000000-0005-0000-0000-0000BD000000}"/>
    <cellStyle name="Normal 7" xfId="250" xr:uid="{00000000-0005-0000-0000-0000BE000000}"/>
    <cellStyle name="Normale_ADVA R7 for SNO ITA 25-11-2005" xfId="174" xr:uid="{00000000-0005-0000-0000-0000BF000000}"/>
    <cellStyle name="Note 2" xfId="80" xr:uid="{00000000-0005-0000-0000-0000C0000000}"/>
    <cellStyle name="Note 2 2" xfId="239" xr:uid="{00000000-0005-0000-0000-0000C1000000}"/>
    <cellStyle name="Output 2" xfId="81" xr:uid="{00000000-0005-0000-0000-0000C2000000}"/>
    <cellStyle name="Page Number" xfId="175" xr:uid="{00000000-0005-0000-0000-0000C3000000}"/>
    <cellStyle name="Percent" xfId="225" builtinId="5"/>
    <cellStyle name="Percent [2]" xfId="176" xr:uid="{00000000-0005-0000-0000-0000C5000000}"/>
    <cellStyle name="Percent [2] 2" xfId="240" xr:uid="{00000000-0005-0000-0000-0000C6000000}"/>
    <cellStyle name="Percent 2" xfId="82" xr:uid="{00000000-0005-0000-0000-0000C7000000}"/>
    <cellStyle name="Percent 2 2" xfId="241" xr:uid="{00000000-0005-0000-0000-0000C8000000}"/>
    <cellStyle name="Percent 3" xfId="220" xr:uid="{00000000-0005-0000-0000-0000C9000000}"/>
    <cellStyle name="Percent 3 2" xfId="242" xr:uid="{00000000-0005-0000-0000-0000CA000000}"/>
    <cellStyle name="Percent 4" xfId="221" xr:uid="{00000000-0005-0000-0000-0000CB000000}"/>
    <cellStyle name="Percent 4 2" xfId="243" xr:uid="{00000000-0005-0000-0000-0000CC000000}"/>
    <cellStyle name="Percentuale_BP_ACTEL_0906_Int_Costs_Modified (anche i minuti) 2" xfId="177" xr:uid="{00000000-0005-0000-0000-0000CD000000}"/>
    <cellStyle name="PL" xfId="178" xr:uid="{00000000-0005-0000-0000-0000CE000000}"/>
    <cellStyle name="Porcentual_CAPEX_Acea_Alcatel_2505" xfId="179" xr:uid="{00000000-0005-0000-0000-0000CF000000}"/>
    <cellStyle name="ProjRevenue" xfId="180" xr:uid="{00000000-0005-0000-0000-0000D0000000}"/>
    <cellStyle name="ProjRevenue 2" xfId="247" xr:uid="{00000000-0005-0000-0000-0000D1000000}"/>
    <cellStyle name="ProjRevenue.total" xfId="181" xr:uid="{00000000-0005-0000-0000-0000D2000000}"/>
    <cellStyle name="ProjRevenue.total 2" xfId="248" xr:uid="{00000000-0005-0000-0000-0000D3000000}"/>
    <cellStyle name="RevList" xfId="182" xr:uid="{00000000-0005-0000-0000-0000D4000000}"/>
    <cellStyle name="rubrik1" xfId="183" xr:uid="{00000000-0005-0000-0000-0000D5000000}"/>
    <cellStyle name="Special%" xfId="184" xr:uid="{00000000-0005-0000-0000-0000D6000000}"/>
    <cellStyle name="Special% 2" xfId="249" xr:uid="{00000000-0005-0000-0000-0000D7000000}"/>
    <cellStyle name="Standaard_rel-sl" xfId="185" xr:uid="{00000000-0005-0000-0000-0000D8000000}"/>
    <cellStyle name="Standard_(B) Access-Spares for 2000" xfId="186" xr:uid="{00000000-0005-0000-0000-0000D9000000}"/>
    <cellStyle name="Style 1" xfId="187" xr:uid="{00000000-0005-0000-0000-0000DA000000}"/>
    <cellStyle name="Subtotal" xfId="188" xr:uid="{00000000-0005-0000-0000-0000DB000000}"/>
    <cellStyle name="Table" xfId="189" xr:uid="{00000000-0005-0000-0000-0000DC000000}"/>
    <cellStyle name="Table Head" xfId="190" xr:uid="{00000000-0005-0000-0000-0000DD000000}"/>
    <cellStyle name="Table Head Aligned" xfId="191" xr:uid="{00000000-0005-0000-0000-0000DE000000}"/>
    <cellStyle name="Table Head Blue" xfId="192" xr:uid="{00000000-0005-0000-0000-0000DF000000}"/>
    <cellStyle name="Table Head Green" xfId="193" xr:uid="{00000000-0005-0000-0000-0000E0000000}"/>
    <cellStyle name="Table Head_Fixed MobileV1" xfId="194" xr:uid="{00000000-0005-0000-0000-0000E1000000}"/>
    <cellStyle name="Table Source" xfId="195" xr:uid="{00000000-0005-0000-0000-0000E2000000}"/>
    <cellStyle name="Table Text" xfId="196" xr:uid="{00000000-0005-0000-0000-0000E3000000}"/>
    <cellStyle name="Table Title" xfId="197" xr:uid="{00000000-0005-0000-0000-0000E4000000}"/>
    <cellStyle name="Table Units" xfId="198" xr:uid="{00000000-0005-0000-0000-0000E5000000}"/>
    <cellStyle name="Text 1" xfId="199" xr:uid="{00000000-0005-0000-0000-0000E6000000}"/>
    <cellStyle name="Text 2" xfId="200" xr:uid="{00000000-0005-0000-0000-0000E7000000}"/>
    <cellStyle name="Text Head 1" xfId="201" xr:uid="{00000000-0005-0000-0000-0000E8000000}"/>
    <cellStyle name="Text Head 2" xfId="202" xr:uid="{00000000-0005-0000-0000-0000E9000000}"/>
    <cellStyle name="Text Indent 1" xfId="203" xr:uid="{00000000-0005-0000-0000-0000EA000000}"/>
    <cellStyle name="Text Indent 2" xfId="204" xr:uid="{00000000-0005-0000-0000-0000EB000000}"/>
    <cellStyle name="Title 2" xfId="83" xr:uid="{00000000-0005-0000-0000-0000EC000000}"/>
    <cellStyle name="TOC 1" xfId="205" xr:uid="{00000000-0005-0000-0000-0000ED000000}"/>
    <cellStyle name="TOC 2" xfId="206" xr:uid="{00000000-0005-0000-0000-0000EE000000}"/>
    <cellStyle name="Total 2" xfId="84" xr:uid="{00000000-0005-0000-0000-0000EF000000}"/>
    <cellStyle name="Update" xfId="207" xr:uid="{00000000-0005-0000-0000-0000F0000000}"/>
    <cellStyle name="Valuta (0)_ P-Tirren" xfId="208" xr:uid="{00000000-0005-0000-0000-0000F1000000}"/>
    <cellStyle name="Valuta [0]_rel-sl" xfId="209" xr:uid="{00000000-0005-0000-0000-0000F2000000}"/>
    <cellStyle name="Valuta_BP_RM_fine" xfId="210" xr:uid="{00000000-0005-0000-0000-0000F3000000}"/>
    <cellStyle name="Warning Text 2" xfId="85" xr:uid="{00000000-0005-0000-0000-0000F4000000}"/>
    <cellStyle name="콤마 [0]_PLDT" xfId="211" xr:uid="{00000000-0005-0000-0000-0000F5000000}"/>
    <cellStyle name="콤마_PLDT" xfId="212" xr:uid="{00000000-0005-0000-0000-0000F6000000}"/>
    <cellStyle name="통화 [0]_PLDT" xfId="213" xr:uid="{00000000-0005-0000-0000-0000F7000000}"/>
    <cellStyle name="통화_PLDT" xfId="214" xr:uid="{00000000-0005-0000-0000-0000F8000000}"/>
    <cellStyle name="표준_PLDT" xfId="215" xr:uid="{00000000-0005-0000-0000-0000F9000000}"/>
    <cellStyle name="常规_7060 software compatibility list 0318" xfId="216" xr:uid="{00000000-0005-0000-0000-0000FA000000}"/>
  </cellStyles>
  <dxfs count="4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colors>
    <mruColors>
      <color rgb="FFFFFF99"/>
      <color rgb="FFFF3300"/>
      <color rgb="FFFFFF66"/>
      <color rgb="FFB1A0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2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microsoft.com/office/2006/relationships/vbaProject" Target="vbaProject.bin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26193</xdr:colOff>
      <xdr:row>1</xdr:row>
      <xdr:rowOff>6162</xdr:rowOff>
    </xdr:from>
    <xdr:to>
      <xdr:col>1</xdr:col>
      <xdr:colOff>1330099</xdr:colOff>
      <xdr:row>1</xdr:row>
      <xdr:rowOff>249170</xdr:rowOff>
    </xdr:to>
    <xdr:pic>
      <xdr:nvPicPr>
        <xdr:cNvPr id="8" name="Picture 7" descr="cid:image001.jpg@01CDAAB4.3ABC5A30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650" y="278305"/>
          <a:ext cx="1303906" cy="24681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15307</xdr:colOff>
      <xdr:row>0</xdr:row>
      <xdr:rowOff>212989</xdr:rowOff>
    </xdr:from>
    <xdr:to>
      <xdr:col>1</xdr:col>
      <xdr:colOff>1315403</xdr:colOff>
      <xdr:row>1</xdr:row>
      <xdr:rowOff>245903</xdr:rowOff>
    </xdr:to>
    <xdr:pic>
      <xdr:nvPicPr>
        <xdr:cNvPr id="2" name="Picture 1" descr="cid:image001.jpg@01CDAAB4.3ABC5A30">
          <a:extLst>
            <a:ext uri="{FF2B5EF4-FFF2-40B4-BE49-F238E27FC236}">
              <a16:creationId xmlns:a16="http://schemas.microsoft.com/office/drawing/2014/main" id="{94A765D0-9002-432E-8144-451783855C5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3906" cy="24817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62932</xdr:colOff>
      <xdr:row>0</xdr:row>
      <xdr:rowOff>70115</xdr:rowOff>
    </xdr:from>
    <xdr:to>
      <xdr:col>1</xdr:col>
      <xdr:colOff>1277779</xdr:colOff>
      <xdr:row>0</xdr:row>
      <xdr:rowOff>401003</xdr:rowOff>
    </xdr:to>
    <xdr:pic>
      <xdr:nvPicPr>
        <xdr:cNvPr id="3" name="Picture 2" descr="cid:image001.jpg@01CDAAB4.3ABC5A30">
          <a:extLst>
            <a:ext uri="{FF2B5EF4-FFF2-40B4-BE49-F238E27FC236}">
              <a16:creationId xmlns:a16="http://schemas.microsoft.com/office/drawing/2014/main" id="{8DD90922-18ED-40DB-B156-1B70CD07B56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932" y="70115"/>
          <a:ext cx="1211037" cy="33469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15307</xdr:colOff>
      <xdr:row>0</xdr:row>
      <xdr:rowOff>212989</xdr:rowOff>
    </xdr:from>
    <xdr:to>
      <xdr:col>1</xdr:col>
      <xdr:colOff>1317520</xdr:colOff>
      <xdr:row>1</xdr:row>
      <xdr:rowOff>245903</xdr:rowOff>
    </xdr:to>
    <xdr:pic>
      <xdr:nvPicPr>
        <xdr:cNvPr id="3" name="Picture 2" descr="cid:image001.jpg@01CDAAB4.3ABC5A30">
          <a:extLst>
            <a:ext uri="{FF2B5EF4-FFF2-40B4-BE49-F238E27FC236}">
              <a16:creationId xmlns:a16="http://schemas.microsoft.com/office/drawing/2014/main" id="{A608A3A5-F2EA-4022-9FA3-646BF50A9F4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3906" cy="24817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15307</xdr:colOff>
      <xdr:row>0</xdr:row>
      <xdr:rowOff>212989</xdr:rowOff>
    </xdr:from>
    <xdr:to>
      <xdr:col>1</xdr:col>
      <xdr:colOff>1312758</xdr:colOff>
      <xdr:row>1</xdr:row>
      <xdr:rowOff>245903</xdr:rowOff>
    </xdr:to>
    <xdr:pic>
      <xdr:nvPicPr>
        <xdr:cNvPr id="4" name="Picture 3" descr="cid:image001.jpg@01CDAAB4.3ABC5A30">
          <a:extLst>
            <a:ext uri="{FF2B5EF4-FFF2-40B4-BE49-F238E27FC236}">
              <a16:creationId xmlns:a16="http://schemas.microsoft.com/office/drawing/2014/main" id="{96309412-D102-407F-BEA6-31D082B39BC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6023" cy="24817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15307</xdr:colOff>
      <xdr:row>0</xdr:row>
      <xdr:rowOff>212989</xdr:rowOff>
    </xdr:from>
    <xdr:to>
      <xdr:col>1</xdr:col>
      <xdr:colOff>1316356</xdr:colOff>
      <xdr:row>1</xdr:row>
      <xdr:rowOff>245903</xdr:rowOff>
    </xdr:to>
    <xdr:pic>
      <xdr:nvPicPr>
        <xdr:cNvPr id="5" name="Picture 4" descr="cid:image001.jpg@01CDAAB4.3ABC5A30">
          <a:extLst>
            <a:ext uri="{FF2B5EF4-FFF2-40B4-BE49-F238E27FC236}">
              <a16:creationId xmlns:a16="http://schemas.microsoft.com/office/drawing/2014/main" id="{9E341767-2997-4E74-9702-640784CEFFF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3906" cy="24817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15307</xdr:colOff>
      <xdr:row>0</xdr:row>
      <xdr:rowOff>212989</xdr:rowOff>
    </xdr:from>
    <xdr:to>
      <xdr:col>1</xdr:col>
      <xdr:colOff>1317520</xdr:colOff>
      <xdr:row>1</xdr:row>
      <xdr:rowOff>245903</xdr:rowOff>
    </xdr:to>
    <xdr:pic>
      <xdr:nvPicPr>
        <xdr:cNvPr id="6" name="Picture 5" descr="cid:image001.jpg@01CDAAB4.3ABC5A30">
          <a:extLst>
            <a:ext uri="{FF2B5EF4-FFF2-40B4-BE49-F238E27FC236}">
              <a16:creationId xmlns:a16="http://schemas.microsoft.com/office/drawing/2014/main" id="{AAF0EF81-6D22-4B19-95F9-6FBED1890E4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6023" cy="24817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15307</xdr:colOff>
      <xdr:row>0</xdr:row>
      <xdr:rowOff>212989</xdr:rowOff>
    </xdr:from>
    <xdr:to>
      <xdr:col>1</xdr:col>
      <xdr:colOff>1317520</xdr:colOff>
      <xdr:row>1</xdr:row>
      <xdr:rowOff>245903</xdr:rowOff>
    </xdr:to>
    <xdr:pic>
      <xdr:nvPicPr>
        <xdr:cNvPr id="4" name="Picture 3" descr="cid:image001.jpg@01CDAAB4.3ABC5A30">
          <a:extLst>
            <a:ext uri="{FF2B5EF4-FFF2-40B4-BE49-F238E27FC236}">
              <a16:creationId xmlns:a16="http://schemas.microsoft.com/office/drawing/2014/main" id="{8E419A5A-1FF7-44F9-BAAC-71BE3764209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6023" cy="24817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15307</xdr:colOff>
      <xdr:row>0</xdr:row>
      <xdr:rowOff>212989</xdr:rowOff>
    </xdr:from>
    <xdr:to>
      <xdr:col>1</xdr:col>
      <xdr:colOff>1315403</xdr:colOff>
      <xdr:row>1</xdr:row>
      <xdr:rowOff>245903</xdr:rowOff>
    </xdr:to>
    <xdr:pic>
      <xdr:nvPicPr>
        <xdr:cNvPr id="5" name="Picture 4" descr="cid:image001.jpg@01CDAAB4.3ABC5A30">
          <a:extLst>
            <a:ext uri="{FF2B5EF4-FFF2-40B4-BE49-F238E27FC236}">
              <a16:creationId xmlns:a16="http://schemas.microsoft.com/office/drawing/2014/main" id="{E53EF372-78AA-4C3F-B45A-7721793FB8A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3906" cy="24817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15307</xdr:colOff>
      <xdr:row>0</xdr:row>
      <xdr:rowOff>212989</xdr:rowOff>
    </xdr:from>
    <xdr:to>
      <xdr:col>1</xdr:col>
      <xdr:colOff>1317520</xdr:colOff>
      <xdr:row>1</xdr:row>
      <xdr:rowOff>245903</xdr:rowOff>
    </xdr:to>
    <xdr:pic>
      <xdr:nvPicPr>
        <xdr:cNvPr id="6" name="Picture 5" descr="cid:image001.jpg@01CDAAB4.3ABC5A30">
          <a:extLst>
            <a:ext uri="{FF2B5EF4-FFF2-40B4-BE49-F238E27FC236}">
              <a16:creationId xmlns:a16="http://schemas.microsoft.com/office/drawing/2014/main" id="{B811BF88-A1EF-4319-8852-A2E7D4715D6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6023" cy="24817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15307</xdr:colOff>
      <xdr:row>0</xdr:row>
      <xdr:rowOff>212989</xdr:rowOff>
    </xdr:from>
    <xdr:to>
      <xdr:col>1</xdr:col>
      <xdr:colOff>1317520</xdr:colOff>
      <xdr:row>1</xdr:row>
      <xdr:rowOff>245903</xdr:rowOff>
    </xdr:to>
    <xdr:pic>
      <xdr:nvPicPr>
        <xdr:cNvPr id="4" name="Picture 3" descr="cid:image001.jpg@01CDAAB4.3ABC5A30">
          <a:extLst>
            <a:ext uri="{FF2B5EF4-FFF2-40B4-BE49-F238E27FC236}">
              <a16:creationId xmlns:a16="http://schemas.microsoft.com/office/drawing/2014/main" id="{72FBB59E-BB60-488C-A7B8-E645E8A8AEB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6023" cy="24817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15307</xdr:colOff>
      <xdr:row>0</xdr:row>
      <xdr:rowOff>212989</xdr:rowOff>
    </xdr:from>
    <xdr:to>
      <xdr:col>1</xdr:col>
      <xdr:colOff>1315403</xdr:colOff>
      <xdr:row>1</xdr:row>
      <xdr:rowOff>245903</xdr:rowOff>
    </xdr:to>
    <xdr:pic>
      <xdr:nvPicPr>
        <xdr:cNvPr id="5" name="Picture 4" descr="cid:image001.jpg@01CDAAB4.3ABC5A30">
          <a:extLst>
            <a:ext uri="{FF2B5EF4-FFF2-40B4-BE49-F238E27FC236}">
              <a16:creationId xmlns:a16="http://schemas.microsoft.com/office/drawing/2014/main" id="{05510DD2-EAB2-4EC3-9CF0-0FE7E1E1598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3906" cy="24817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15307</xdr:colOff>
      <xdr:row>0</xdr:row>
      <xdr:rowOff>212989</xdr:rowOff>
    </xdr:from>
    <xdr:to>
      <xdr:col>1</xdr:col>
      <xdr:colOff>1316568</xdr:colOff>
      <xdr:row>1</xdr:row>
      <xdr:rowOff>249713</xdr:rowOff>
    </xdr:to>
    <xdr:pic>
      <xdr:nvPicPr>
        <xdr:cNvPr id="4" name="Picture 3" descr="cid:image001.jpg@01CDAAB4.3ABC5A30">
          <a:extLst>
            <a:ext uri="{FF2B5EF4-FFF2-40B4-BE49-F238E27FC236}">
              <a16:creationId xmlns:a16="http://schemas.microsoft.com/office/drawing/2014/main" id="{8DDFB2F9-8E29-42A9-887A-7BA9C6B2DAC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6023" cy="24817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15307</xdr:colOff>
      <xdr:row>0</xdr:row>
      <xdr:rowOff>212989</xdr:rowOff>
    </xdr:from>
    <xdr:to>
      <xdr:col>1</xdr:col>
      <xdr:colOff>1312546</xdr:colOff>
      <xdr:row>1</xdr:row>
      <xdr:rowOff>249713</xdr:rowOff>
    </xdr:to>
    <xdr:pic>
      <xdr:nvPicPr>
        <xdr:cNvPr id="5" name="Picture 4" descr="cid:image001.jpg@01CDAAB4.3ABC5A30">
          <a:extLst>
            <a:ext uri="{FF2B5EF4-FFF2-40B4-BE49-F238E27FC236}">
              <a16:creationId xmlns:a16="http://schemas.microsoft.com/office/drawing/2014/main" id="{B2574A15-7AEE-48D6-9623-83720036C6B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3906" cy="24817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15307</xdr:colOff>
      <xdr:row>0</xdr:row>
      <xdr:rowOff>212989</xdr:rowOff>
    </xdr:from>
    <xdr:to>
      <xdr:col>1</xdr:col>
      <xdr:colOff>1313710</xdr:colOff>
      <xdr:row>1</xdr:row>
      <xdr:rowOff>249713</xdr:rowOff>
    </xdr:to>
    <xdr:pic>
      <xdr:nvPicPr>
        <xdr:cNvPr id="6" name="Picture 5" descr="cid:image001.jpg@01CDAAB4.3ABC5A30">
          <a:extLst>
            <a:ext uri="{FF2B5EF4-FFF2-40B4-BE49-F238E27FC236}">
              <a16:creationId xmlns:a16="http://schemas.microsoft.com/office/drawing/2014/main" id="{01E12348-59FB-4E92-9A94-17111321BBA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6023" cy="24817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15307</xdr:colOff>
      <xdr:row>0</xdr:row>
      <xdr:rowOff>212989</xdr:rowOff>
    </xdr:from>
    <xdr:to>
      <xdr:col>1</xdr:col>
      <xdr:colOff>706015</xdr:colOff>
      <xdr:row>2</xdr:row>
      <xdr:rowOff>57308</xdr:rowOff>
    </xdr:to>
    <xdr:pic>
      <xdr:nvPicPr>
        <xdr:cNvPr id="2" name="Picture 1" descr="cid:image001.jpg@01CDAAB4.3ABC5A30">
          <a:extLst>
            <a:ext uri="{FF2B5EF4-FFF2-40B4-BE49-F238E27FC236}">
              <a16:creationId xmlns:a16="http://schemas.microsoft.com/office/drawing/2014/main" id="{375B91D0-DC27-4F93-B3F0-F082401CC5E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6023" cy="24817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15307</xdr:colOff>
      <xdr:row>0</xdr:row>
      <xdr:rowOff>212989</xdr:rowOff>
    </xdr:from>
    <xdr:to>
      <xdr:col>1</xdr:col>
      <xdr:colOff>1313710</xdr:colOff>
      <xdr:row>1</xdr:row>
      <xdr:rowOff>249713</xdr:rowOff>
    </xdr:to>
    <xdr:pic>
      <xdr:nvPicPr>
        <xdr:cNvPr id="5" name="Picture 4" descr="cid:image001.jpg@01CDAAB4.3ABC5A30">
          <a:extLst>
            <a:ext uri="{FF2B5EF4-FFF2-40B4-BE49-F238E27FC236}">
              <a16:creationId xmlns:a16="http://schemas.microsoft.com/office/drawing/2014/main" id="{62B29F5D-C73E-40B8-9E20-8086D79AF72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6023" cy="24817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phamandla Sokhela" refreshedDate="45174.34700115741" missingItemsLimit="0" createdVersion="7" refreshedVersion="8" minRefreshableVersion="3" recordCount="5" xr:uid="{2CCD5A82-5FD0-40A4-84FC-D6BD9F1FDA5E}">
  <cacheSource type="worksheet">
    <worksheetSource ref="E1:O6" sheet="ROUTE INFO"/>
  </cacheSource>
  <cacheFields count="11">
    <cacheField name="MH TYPE" numFmtId="0">
      <sharedItems containsNonDate="0" containsString="0" containsBlank="1" count="1">
        <m/>
      </sharedItems>
    </cacheField>
    <cacheField name="LOCATION" numFmtId="0">
      <sharedItems containsNonDate="0" containsString="0" containsBlank="1"/>
    </cacheField>
    <cacheField name="LATITUDE" numFmtId="0">
      <sharedItems containsNonDate="0" containsString="0" containsBlank="1"/>
    </cacheField>
    <cacheField name="LONGITUDE" numFmtId="0">
      <sharedItems containsNonDate="0" containsString="0" containsBlank="1"/>
    </cacheField>
    <cacheField name="DISTANCE" numFmtId="0">
      <sharedItems containsSemiMixedTypes="0" containsString="0" containsNumber="1" containsInteger="1" minValue="0" maxValue="32"/>
    </cacheField>
    <cacheField name="USE / COMMENTS" numFmtId="0">
      <sharedItems containsBlank="1"/>
    </cacheField>
    <cacheField name="TRENCH TYPE" numFmtId="0">
      <sharedItems containsNonDate="0" containsString="0" containsBlank="1"/>
    </cacheField>
    <cacheField name="DUCT TYPE" numFmtId="0">
      <sharedItems containsBlank="1"/>
    </cacheField>
    <cacheField name="SUB DUCT" numFmtId="0">
      <sharedItems containsBlank="1"/>
    </cacheField>
    <cacheField name="CABLE TYPE" numFmtId="0">
      <sharedItems containsBlank="1"/>
    </cacheField>
    <cacheField name="SLACK" numFmtId="0">
      <sharedItems containsString="0" containsBlank="1" containsNumber="1" containsInteger="1" minValue="10" maxValue="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phamandla Sokhela" refreshedDate="45174.347001620372" missingItemsLimit="0" createdVersion="5" refreshedVersion="8" minRefreshableVersion="3" recordCount="5" xr:uid="{00000000-000A-0000-FFFF-FFFF00000000}">
  <cacheSource type="worksheet">
    <worksheetSource ref="I1:P6" sheet="ROUTE INFO"/>
  </cacheSource>
  <cacheFields count="8">
    <cacheField name="DISTANCE" numFmtId="0">
      <sharedItems containsSemiMixedTypes="0" containsString="0" containsNumber="1" containsInteger="1" minValue="0" maxValue="32"/>
    </cacheField>
    <cacheField name="USE / COMMENTS" numFmtId="0">
      <sharedItems containsBlank="1"/>
    </cacheField>
    <cacheField name="TRENCH TYPE" numFmtId="0">
      <sharedItems containsNonDate="0" containsString="0" containsBlank="1"/>
    </cacheField>
    <cacheField name="DUCT TYPE" numFmtId="0">
      <sharedItems containsBlank="1"/>
    </cacheField>
    <cacheField name="SUB DUCT" numFmtId="0">
      <sharedItems containsBlank="1"/>
    </cacheField>
    <cacheField name="CABLE TYPE" numFmtId="0">
      <sharedItems containsBlank="1" count="2">
        <m/>
        <s v="4 F DUAL DROP CABLE"/>
      </sharedItems>
    </cacheField>
    <cacheField name="SLACK" numFmtId="0">
      <sharedItems containsString="0" containsBlank="1" containsNumber="1" containsInteger="1" minValue="10" maxValue="15"/>
    </cacheField>
    <cacheField name="INVER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phamandla Sokhela" refreshedDate="45174.347001967595" missingItemsLimit="0" createdVersion="5" refreshedVersion="8" minRefreshableVersion="3" recordCount="5" xr:uid="{00000000-000A-0000-FFFF-FFFF01000000}">
  <cacheSource type="worksheet">
    <worksheetSource ref="N1:N6" sheet="ROUTE INFO"/>
  </cacheSource>
  <cacheFields count="1">
    <cacheField name="CABLE TYPE" numFmtId="0">
      <sharedItems containsBlank="1" count="2">
        <m/>
        <s v="4 F DUAL DROP CAB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phamandla Sokhela" refreshedDate="45174.347002314818" missingItemsLimit="0" createdVersion="5" refreshedVersion="8" minRefreshableVersion="3" recordCount="5" xr:uid="{00000000-000A-0000-FFFF-FFFF02000000}">
  <cacheSource type="worksheet">
    <worksheetSource ref="I1:O6" sheet="ROUTE INFO"/>
  </cacheSource>
  <cacheFields count="7">
    <cacheField name="DISTANCE" numFmtId="0">
      <sharedItems containsSemiMixedTypes="0" containsString="0" containsNumber="1" containsInteger="1" minValue="0" maxValue="32"/>
    </cacheField>
    <cacheField name="USE / COMMENTS" numFmtId="0">
      <sharedItems containsBlank="1"/>
    </cacheField>
    <cacheField name="TRENCH TYPE" numFmtId="0">
      <sharedItems containsNonDate="0" containsString="0" containsBlank="1" count="1">
        <m/>
      </sharedItems>
    </cacheField>
    <cacheField name="DUCT TYPE" numFmtId="0">
      <sharedItems containsBlank="1" count="4">
        <m/>
        <s v="3RD PARTY DUCT"/>
        <s v="TRUNKING 25x25"/>
        <s v="25MM PVC"/>
      </sharedItems>
    </cacheField>
    <cacheField name="SUB DUCT" numFmtId="0">
      <sharedItems containsBlank="1" count="2">
        <m/>
        <s v="14/10-1 WAY"/>
      </sharedItems>
    </cacheField>
    <cacheField name="CABLE TYPE" numFmtId="0">
      <sharedItems containsBlank="1"/>
    </cacheField>
    <cacheField name="SLACK" numFmtId="0">
      <sharedItems containsString="0" containsBlank="1" containsNumber="1" containsInteger="1" minValue="10" maxValue="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m/>
    <m/>
    <m/>
    <n v="0"/>
    <m/>
    <m/>
    <m/>
    <m/>
    <m/>
    <n v="10"/>
  </r>
  <r>
    <x v="0"/>
    <m/>
    <m/>
    <m/>
    <n v="3"/>
    <s v="In Building"/>
    <m/>
    <s v="3RD PARTY DUCT"/>
    <s v="14/10-1 WAY"/>
    <s v="4 F DUAL DROP CABLE"/>
    <m/>
  </r>
  <r>
    <x v="0"/>
    <m/>
    <m/>
    <m/>
    <n v="3"/>
    <s v="In Building"/>
    <m/>
    <s v="TRUNKING 25x25"/>
    <s v="14/10-1 WAY"/>
    <s v="4 F DUAL DROP CABLE"/>
    <m/>
  </r>
  <r>
    <x v="0"/>
    <m/>
    <m/>
    <m/>
    <n v="17"/>
    <s v="In Building"/>
    <m/>
    <s v="25MM PVC"/>
    <s v="14/10-1 WAY"/>
    <s v="4 F DUAL DROP CABLE"/>
    <m/>
  </r>
  <r>
    <x v="0"/>
    <m/>
    <m/>
    <m/>
    <n v="32"/>
    <s v="In Building"/>
    <m/>
    <s v="25MM PVC"/>
    <s v="14/10-1 WAY"/>
    <s v="4 F DUAL DROP CABLE"/>
    <n v="1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n v="0"/>
    <m/>
    <m/>
    <m/>
    <m/>
    <x v="0"/>
    <n v="10"/>
    <m/>
  </r>
  <r>
    <n v="3"/>
    <s v="In Building"/>
    <m/>
    <s v="3RD PARTY DUCT"/>
    <s v="14/10-1 WAY"/>
    <x v="1"/>
    <m/>
    <m/>
  </r>
  <r>
    <n v="3"/>
    <s v="In Building"/>
    <m/>
    <s v="TRUNKING 25x25"/>
    <s v="14/10-1 WAY"/>
    <x v="1"/>
    <m/>
    <m/>
  </r>
  <r>
    <n v="17"/>
    <s v="In Building"/>
    <m/>
    <s v="25MM PVC"/>
    <s v="14/10-1 WAY"/>
    <x v="1"/>
    <m/>
    <m/>
  </r>
  <r>
    <n v="32"/>
    <s v="In Building"/>
    <m/>
    <s v="25MM PVC"/>
    <s v="14/10-1 WAY"/>
    <x v="1"/>
    <n v="15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</r>
  <r>
    <x v="1"/>
  </r>
  <r>
    <x v="1"/>
  </r>
  <r>
    <x v="1"/>
  </r>
  <r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n v="0"/>
    <m/>
    <x v="0"/>
    <x v="0"/>
    <x v="0"/>
    <m/>
    <n v="10"/>
  </r>
  <r>
    <n v="3"/>
    <s v="In Building"/>
    <x v="0"/>
    <x v="1"/>
    <x v="1"/>
    <s v="4 F DUAL DROP CABLE"/>
    <m/>
  </r>
  <r>
    <n v="3"/>
    <s v="In Building"/>
    <x v="0"/>
    <x v="2"/>
    <x v="1"/>
    <s v="4 F DUAL DROP CABLE"/>
    <m/>
  </r>
  <r>
    <n v="17"/>
    <s v="In Building"/>
    <x v="0"/>
    <x v="3"/>
    <x v="1"/>
    <s v="4 F DUAL DROP CABLE"/>
    <m/>
  </r>
  <r>
    <n v="32"/>
    <s v="In Building"/>
    <x v="0"/>
    <x v="3"/>
    <x v="1"/>
    <s v="4 F DUAL DROP CABLE"/>
    <n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2000000}" name="PivotTable3" cacheId="94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>
  <location ref="K40:L43" firstHeaderRow="1" firstDataRow="1" firstDataCol="1"/>
  <pivotFields count="1">
    <pivotField axis="axisRow" dataField="1" showAll="0">
      <items count="3">
        <item x="0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CABLE TYPE" fld="0" subtotal="count" baseField="0" baseItem="0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4000000}" name="PivotTable6" cacheId="99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>
  <location ref="K52:L54" firstHeaderRow="1" firstDataRow="1" firstDataCol="1"/>
  <pivotFields count="7">
    <pivotField dataField="1"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</pivotFields>
  <rowFields count="1">
    <field x="2"/>
  </rowFields>
  <rowItems count="2">
    <i>
      <x/>
    </i>
    <i t="grand">
      <x/>
    </i>
  </rowItems>
  <colItems count="1">
    <i/>
  </colItems>
  <dataFields count="1">
    <dataField name="Sum of DISTANCE" fld="0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3000000}" name="PivotTable5" cacheId="99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>
  <location ref="N29:O34" firstHeaderRow="1" firstDataRow="1" firstDataCol="1"/>
  <pivotFields count="7">
    <pivotField dataField="1"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DISTANCE" fld="0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1" cacheId="91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>
  <location ref="K11:N14" firstHeaderRow="0" firstDataRow="1" firstDataCol="1"/>
  <pivotFields count="8">
    <pivotField dataField="1" showAll="0"/>
    <pivotField showAll="0"/>
    <pivotField showAll="0"/>
    <pivotField showAll="0"/>
    <pivotField showAll="0" defaultSubtotal="0"/>
    <pivotField axis="axisRow" showAll="0">
      <items count="3">
        <item x="0"/>
        <item x="1"/>
        <item t="default"/>
      </items>
    </pivotField>
    <pivotField dataField="1" showAll="0"/>
    <pivotField dataField="1" showAll="0"/>
  </pivotFields>
  <rowFields count="1">
    <field x="5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DISTANCE" fld="0" baseField="4" baseItem="0"/>
    <dataField name="Sum of SLACK" fld="6" baseField="4" baseItem="0"/>
    <dataField name="Sum of INVERT" fld="7" baseField="4" baseItem="0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3C7840-86E1-4441-9720-8BF50C445484}" name="PivotTable7" cacheId="88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>
  <location ref="N52:O54" firstHeaderRow="1" firstDataRow="1" firstDataCol="1"/>
  <pivotFields count="11"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2">
    <i>
      <x/>
    </i>
    <i t="grand">
      <x/>
    </i>
  </rowItems>
  <colItems count="1">
    <i/>
  </colItems>
  <dataFields count="1">
    <dataField name="Sum of SLACK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1000000}" name="PivotTable2" cacheId="99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>
  <location ref="K29:L32" firstHeaderRow="1" firstDataRow="1" firstDataCol="1"/>
  <pivotFields count="7">
    <pivotField dataField="1" showAll="0"/>
    <pivotField showAll="0"/>
    <pivotField showAll="0"/>
    <pivotField showAll="0"/>
    <pivotField axis="axisRow" showAll="0" defaultSubtotal="0">
      <items count="2">
        <item x="0"/>
        <item x="1"/>
      </items>
    </pivotField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DISTANCE" fld="0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6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95"/>
  <sheetViews>
    <sheetView tabSelected="1" zoomScale="80" zoomScaleNormal="80" workbookViewId="0">
      <selection activeCell="F26" sqref="F26"/>
    </sheetView>
  </sheetViews>
  <sheetFormatPr defaultColWidth="9.109375" defaultRowHeight="13.8"/>
  <cols>
    <col min="1" max="1" width="5.77734375" style="649" customWidth="1"/>
    <col min="2" max="2" width="25" style="649" customWidth="1"/>
    <col min="3" max="3" width="19.109375" style="649" customWidth="1"/>
    <col min="4" max="4" width="5.77734375" style="649" customWidth="1"/>
    <col min="5" max="5" width="23.44140625" style="649" bestFit="1" customWidth="1"/>
    <col min="6" max="6" width="19.33203125" style="649" customWidth="1"/>
    <col min="7" max="7" width="5.77734375" style="649" customWidth="1"/>
    <col min="8" max="8" width="24.44140625" style="649" bestFit="1" customWidth="1"/>
    <col min="9" max="9" width="20.77734375" style="649" customWidth="1"/>
    <col min="10" max="10" width="5.77734375" style="649" customWidth="1"/>
    <col min="11" max="12" width="20.77734375" style="649" customWidth="1"/>
    <col min="13" max="13" width="10.77734375" style="649" customWidth="1"/>
    <col min="14" max="14" width="20.77734375" style="649" customWidth="1"/>
    <col min="15" max="15" width="10.77734375" style="649" customWidth="1"/>
    <col min="16" max="16" width="20.77734375" style="649" customWidth="1"/>
    <col min="17" max="17" width="10.77734375" style="649" customWidth="1"/>
    <col min="18" max="18" width="5.77734375" style="649" customWidth="1"/>
    <col min="19" max="19" width="22.33203125" style="649" bestFit="1" customWidth="1"/>
    <col min="20" max="20" width="39.5546875" style="649" bestFit="1" customWidth="1"/>
    <col min="21" max="16384" width="9.109375" style="649"/>
  </cols>
  <sheetData>
    <row r="1" spans="1:25" ht="18">
      <c r="A1" s="648" t="s">
        <v>117</v>
      </c>
      <c r="B1" s="1061" t="str">
        <f>'Master BOQ Pricing_2018-01-08'!B1</f>
        <v>To Be viewed in conjunction with BOS_000-MS-BO-010 Rev 5</v>
      </c>
      <c r="C1" s="1061"/>
      <c r="D1" s="1061"/>
      <c r="E1" s="1061"/>
      <c r="H1" s="650" t="s">
        <v>581</v>
      </c>
      <c r="I1" s="651" t="str">
        <f>'Master BOQ Pricing_2018-01-08'!K6</f>
        <v>6.13</v>
      </c>
      <c r="K1" s="650" t="str">
        <f>'Master BOQ Pricing_2018-01-08'!J7</f>
        <v xml:space="preserve">Effective Date: </v>
      </c>
      <c r="L1" s="652">
        <f>'Master BOQ Pricing_2018-01-08'!K7</f>
        <v>44965</v>
      </c>
    </row>
    <row r="2" spans="1:25" ht="15" thickBot="1">
      <c r="C2" s="685"/>
      <c r="D2" s="685"/>
      <c r="S2" s="243" t="s">
        <v>495</v>
      </c>
      <c r="T2" s="238" t="str">
        <f>'Master BOQ Pricing_2018-01-08'!K2</f>
        <v>CEO/CFO/CCO/NTM</v>
      </c>
    </row>
    <row r="3" spans="1:25" ht="15" thickBot="1">
      <c r="B3" s="273" t="s">
        <v>137</v>
      </c>
      <c r="C3" s="685"/>
      <c r="D3" s="685"/>
      <c r="H3" s="273" t="s">
        <v>347</v>
      </c>
      <c r="I3" s="653"/>
      <c r="K3" s="654" t="s">
        <v>452</v>
      </c>
      <c r="L3" s="1030" t="s">
        <v>448</v>
      </c>
      <c r="M3" s="1065"/>
      <c r="N3" s="1066" t="s">
        <v>454</v>
      </c>
      <c r="O3" s="1033"/>
      <c r="S3" s="239"/>
      <c r="T3" s="240"/>
    </row>
    <row r="4" spans="1:25" ht="14.4">
      <c r="B4" s="834" t="s">
        <v>707</v>
      </c>
      <c r="C4" s="1058" t="s">
        <v>1267</v>
      </c>
      <c r="D4" s="1059"/>
      <c r="E4" s="1059"/>
      <c r="F4" s="1060"/>
      <c r="H4" s="637" t="s">
        <v>333</v>
      </c>
      <c r="I4" s="675">
        <f>'Infra Build BOQ'!G251</f>
        <v>2743.67</v>
      </c>
      <c r="K4" s="655" t="s">
        <v>446</v>
      </c>
      <c r="L4" s="1039" t="str">
        <f>'CIVIL SI'!C6</f>
        <v>INTERNAL OR CONTRACTOR NAME</v>
      </c>
      <c r="M4" s="1040"/>
      <c r="N4" s="1043">
        <f>'CIVIL SI'!Y199</f>
        <v>0</v>
      </c>
      <c r="O4" s="1044"/>
      <c r="S4" s="239" t="s">
        <v>497</v>
      </c>
      <c r="T4" s="240" t="str">
        <f>'Master BOQ Pricing_2018-01-08'!K3</f>
        <v>TECHNICAL</v>
      </c>
    </row>
    <row r="5" spans="1:25" ht="15" thickBot="1">
      <c r="B5" s="835" t="s">
        <v>1003</v>
      </c>
      <c r="C5" s="1021" t="s">
        <v>1267</v>
      </c>
      <c r="D5" s="1022"/>
      <c r="E5" s="1022"/>
      <c r="F5" s="1023"/>
      <c r="H5" s="639" t="s">
        <v>334</v>
      </c>
      <c r="I5" s="676">
        <f>'Infra Build BOQ'!G252</f>
        <v>1204.8</v>
      </c>
      <c r="J5" s="656"/>
      <c r="K5" s="657" t="s">
        <v>447</v>
      </c>
      <c r="L5" s="1041" t="str">
        <f>'JETTING SI'!C6</f>
        <v>INTERNAL OR CONTRACTOR NAME</v>
      </c>
      <c r="M5" s="1042"/>
      <c r="N5" s="1045">
        <f>'JETTING SI'!Y32</f>
        <v>0</v>
      </c>
      <c r="O5" s="1046"/>
      <c r="S5" s="239"/>
      <c r="T5" s="240"/>
    </row>
    <row r="6" spans="1:25" ht="15" thickBot="1">
      <c r="B6" s="835" t="s">
        <v>0</v>
      </c>
      <c r="C6" s="1021" t="s">
        <v>1268</v>
      </c>
      <c r="D6" s="1022"/>
      <c r="E6" s="1022"/>
      <c r="F6" s="1023"/>
      <c r="H6" s="658" t="s">
        <v>336</v>
      </c>
      <c r="I6" s="635">
        <f>I4+I5</f>
        <v>3948.4700000000003</v>
      </c>
      <c r="K6" s="657" t="s">
        <v>325</v>
      </c>
      <c r="L6" s="1041" t="str">
        <f>'DRILLING SI'!C6</f>
        <v>INTERNAL OR CONTRACTOR NAME</v>
      </c>
      <c r="M6" s="1042"/>
      <c r="N6" s="1045">
        <f>'DRILLING SI'!Y25</f>
        <v>0</v>
      </c>
      <c r="O6" s="1046"/>
      <c r="S6" s="239" t="s">
        <v>499</v>
      </c>
      <c r="T6" s="240" t="str">
        <f>'Master BOQ Pricing_2018-01-08'!K4</f>
        <v>BILL OF QUANTITIES INFRASTRUCTURE BUILD</v>
      </c>
    </row>
    <row r="7" spans="1:25" ht="14.4">
      <c r="B7" s="835" t="s">
        <v>305</v>
      </c>
      <c r="C7" s="1021" t="s">
        <v>1276</v>
      </c>
      <c r="D7" s="1022"/>
      <c r="E7" s="1022"/>
      <c r="F7" s="1023"/>
      <c r="K7" s="657" t="s">
        <v>449</v>
      </c>
      <c r="L7" s="1041" t="str">
        <f>'REINSTATEMENT SI'!C6</f>
        <v>INTERNAL OR CONTRACTOR NAME</v>
      </c>
      <c r="M7" s="1042"/>
      <c r="N7" s="1045">
        <f>'REINSTATEMENT SI'!Y24</f>
        <v>0</v>
      </c>
      <c r="O7" s="1046"/>
      <c r="S7" s="239"/>
      <c r="T7" s="240"/>
    </row>
    <row r="8" spans="1:25" ht="15" thickBot="1">
      <c r="B8" s="835" t="s">
        <v>996</v>
      </c>
      <c r="C8" s="1021" t="s">
        <v>1002</v>
      </c>
      <c r="D8" s="1022"/>
      <c r="E8" s="1022"/>
      <c r="F8" s="1023"/>
      <c r="K8" s="657" t="s">
        <v>450</v>
      </c>
      <c r="L8" s="1041" t="str">
        <f>'FLOATING SI'!C6</f>
        <v>INTERNAL OR CONTRACTOR NAME</v>
      </c>
      <c r="M8" s="1042"/>
      <c r="N8" s="1045">
        <f>'FLOATING SI'!Y36</f>
        <v>0</v>
      </c>
      <c r="O8" s="1046"/>
      <c r="S8" s="239" t="s">
        <v>503</v>
      </c>
      <c r="T8" s="240" t="str">
        <f>'Master BOQ Pricing_2018-01-08'!K5</f>
        <v>LA-TEC-BOQ-001</v>
      </c>
    </row>
    <row r="9" spans="1:25" ht="28.8" customHeight="1" thickBot="1">
      <c r="B9" s="835" t="s">
        <v>1073</v>
      </c>
      <c r="C9" s="1067" t="str">
        <f>VLOOKUP(C8,'Network Types'!C2:D20,2,FALSE)</f>
        <v>Link Africa traditional network, including [PoPs, Fibre Routes Link Africa, and Connected Locations]</v>
      </c>
      <c r="D9" s="1068"/>
      <c r="E9" s="1068"/>
      <c r="F9" s="1069"/>
      <c r="H9" s="273" t="s">
        <v>348</v>
      </c>
      <c r="K9" s="679" t="s">
        <v>316</v>
      </c>
      <c r="L9" s="1054" t="str">
        <f>'FOCUS SI'!C6</f>
        <v>INTERNAL OR CONTRACTOR NAME</v>
      </c>
      <c r="M9" s="1055"/>
      <c r="N9" s="1047">
        <f>'FOCUS SI'!Y32</f>
        <v>0</v>
      </c>
      <c r="O9" s="1048"/>
      <c r="S9" s="239"/>
      <c r="T9" s="240"/>
    </row>
    <row r="10" spans="1:25" ht="15" thickBot="1">
      <c r="B10" s="835" t="s">
        <v>342</v>
      </c>
      <c r="C10" s="1021" t="s">
        <v>1272</v>
      </c>
      <c r="D10" s="1022"/>
      <c r="E10" s="1022"/>
      <c r="F10" s="1023"/>
      <c r="H10" s="637" t="s">
        <v>311</v>
      </c>
      <c r="I10" s="684">
        <f>IF(I45=0,(C51+C52+C63),(I35+I44+C51+C63))</f>
        <v>55</v>
      </c>
      <c r="K10" s="660" t="s">
        <v>451</v>
      </c>
      <c r="L10" s="1056" t="str">
        <f>'SPLICING SI'!C6</f>
        <v>INTERNAL OR CONTRACTOR NAME</v>
      </c>
      <c r="M10" s="1057"/>
      <c r="N10" s="1049">
        <f>'SPLICING SI'!Y24</f>
        <v>0</v>
      </c>
      <c r="O10" s="1050"/>
      <c r="S10" s="239" t="s">
        <v>500</v>
      </c>
      <c r="T10" s="240" t="str">
        <f>'Master BOQ Pricing_2018-01-08'!K6</f>
        <v>6.13</v>
      </c>
    </row>
    <row r="11" spans="1:25" ht="15" thickBot="1">
      <c r="B11" s="835" t="s">
        <v>306</v>
      </c>
      <c r="C11" s="1021" t="s">
        <v>1269</v>
      </c>
      <c r="D11" s="1022"/>
      <c r="E11" s="1022"/>
      <c r="F11" s="1023"/>
      <c r="H11" s="659" t="s">
        <v>350</v>
      </c>
      <c r="I11" s="996">
        <f>ROUNDUP(I4/I10,2)</f>
        <v>49.89</v>
      </c>
      <c r="L11" s="1053" t="s">
        <v>453</v>
      </c>
      <c r="M11" s="1053"/>
      <c r="N11" s="1051">
        <f>SUM(O4:O10)</f>
        <v>0</v>
      </c>
      <c r="O11" s="1052"/>
      <c r="S11" s="239"/>
      <c r="T11" s="240"/>
    </row>
    <row r="12" spans="1:25" ht="14.4">
      <c r="B12" s="835" t="s">
        <v>307</v>
      </c>
      <c r="C12" s="1021" t="s">
        <v>1269</v>
      </c>
      <c r="D12" s="1022"/>
      <c r="E12" s="1022"/>
      <c r="F12" s="1023"/>
      <c r="H12" s="638" t="s">
        <v>327</v>
      </c>
      <c r="I12" s="636">
        <f>IF(I45=0,(C51+C52+C63),((I35+I36+I44)+(C51+C52+C63)))</f>
        <v>55</v>
      </c>
      <c r="S12" s="239" t="s">
        <v>501</v>
      </c>
      <c r="T12" s="922">
        <f>'Master BOQ Pricing_2018-01-08'!K7</f>
        <v>44965</v>
      </c>
    </row>
    <row r="13" spans="1:25" ht="15" thickBot="1">
      <c r="B13" s="835" t="s">
        <v>308</v>
      </c>
      <c r="C13" s="1021"/>
      <c r="D13" s="1022"/>
      <c r="E13" s="1022"/>
      <c r="F13" s="1023"/>
      <c r="H13" s="661" t="s">
        <v>349</v>
      </c>
      <c r="I13" s="997">
        <f>ROUNDUP((I4+I5)/I12,2)</f>
        <v>71.800000000000011</v>
      </c>
      <c r="S13" s="239"/>
      <c r="T13" s="662"/>
      <c r="W13" s="1038"/>
      <c r="X13" s="1038"/>
      <c r="Y13" s="1038"/>
    </row>
    <row r="14" spans="1:25" ht="15" thickBot="1">
      <c r="B14" s="835" t="s">
        <v>309</v>
      </c>
      <c r="C14" s="1021"/>
      <c r="D14" s="1022"/>
      <c r="E14" s="1022"/>
      <c r="F14" s="1023"/>
      <c r="S14" s="241" t="s">
        <v>502</v>
      </c>
      <c r="T14" s="923">
        <f>'Master BOQ Pricing_2018-01-08'!K8</f>
        <v>45047</v>
      </c>
    </row>
    <row r="15" spans="1:25" ht="14.4" thickBot="1">
      <c r="B15" s="835" t="s">
        <v>310</v>
      </c>
      <c r="C15" s="1021" t="s">
        <v>1274</v>
      </c>
      <c r="D15" s="1022"/>
      <c r="E15" s="1022"/>
      <c r="F15" s="1023"/>
      <c r="H15" s="833" t="s">
        <v>514</v>
      </c>
    </row>
    <row r="16" spans="1:25" ht="14.4" thickBot="1">
      <c r="B16" s="836" t="s">
        <v>1242</v>
      </c>
      <c r="C16" s="1021" t="s">
        <v>1270</v>
      </c>
      <c r="D16" s="1022"/>
      <c r="E16" s="1022"/>
      <c r="F16" s="1023"/>
      <c r="H16" s="637" t="s">
        <v>512</v>
      </c>
      <c r="I16" s="998">
        <v>1100</v>
      </c>
      <c r="J16" s="678"/>
      <c r="K16" s="654" t="s">
        <v>841</v>
      </c>
      <c r="L16" s="663" t="s">
        <v>840</v>
      </c>
      <c r="M16" s="663" t="s">
        <v>843</v>
      </c>
      <c r="N16" s="663" t="s">
        <v>455</v>
      </c>
      <c r="O16" s="663" t="s">
        <v>843</v>
      </c>
      <c r="P16" s="663" t="s">
        <v>842</v>
      </c>
      <c r="Q16" s="664" t="s">
        <v>843</v>
      </c>
    </row>
    <row r="17" spans="2:17">
      <c r="B17" s="836" t="s">
        <v>362</v>
      </c>
      <c r="C17" s="1021"/>
      <c r="D17" s="1022"/>
      <c r="E17" s="1022"/>
      <c r="F17" s="1023"/>
      <c r="H17" s="677" t="s">
        <v>513</v>
      </c>
      <c r="I17" s="683">
        <f>ROUNDUP(I16*12,2)</f>
        <v>13200</v>
      </c>
      <c r="K17" s="655" t="s">
        <v>442</v>
      </c>
      <c r="L17" s="626">
        <f>'Infra Build BOQ'!V248</f>
        <v>0</v>
      </c>
      <c r="M17" s="627">
        <f>L17/I4</f>
        <v>0</v>
      </c>
      <c r="N17" s="626">
        <f>'MATERIAL REQUEST'!K277</f>
        <v>0</v>
      </c>
      <c r="O17" s="627">
        <f>N17/I5</f>
        <v>0</v>
      </c>
      <c r="P17" s="626">
        <f>L17+N17</f>
        <v>0</v>
      </c>
      <c r="Q17" s="628">
        <f>P17/I6</f>
        <v>0</v>
      </c>
    </row>
    <row r="18" spans="2:17" ht="14.4" thickBot="1">
      <c r="B18" s="836" t="s">
        <v>2</v>
      </c>
      <c r="C18" s="1021" t="s">
        <v>1271</v>
      </c>
      <c r="D18" s="1022"/>
      <c r="E18" s="1022"/>
      <c r="F18" s="1023"/>
      <c r="H18" s="639" t="s">
        <v>1053</v>
      </c>
      <c r="I18" s="999">
        <v>0</v>
      </c>
      <c r="K18" s="679" t="s">
        <v>443</v>
      </c>
      <c r="L18" s="680">
        <f>'Infra Build BOQ'!Z248</f>
        <v>0</v>
      </c>
      <c r="M18" s="681">
        <f>L18/I4</f>
        <v>0</v>
      </c>
      <c r="N18" s="680">
        <f>'MATERIAL REQUEST'!O277</f>
        <v>0</v>
      </c>
      <c r="O18" s="681">
        <f>N18/I5</f>
        <v>0</v>
      </c>
      <c r="P18" s="680">
        <f>L18+N18</f>
        <v>0</v>
      </c>
      <c r="Q18" s="682">
        <f>P18/I6</f>
        <v>0</v>
      </c>
    </row>
    <row r="19" spans="2:17" ht="14.4" thickBot="1">
      <c r="B19" s="836" t="s">
        <v>3</v>
      </c>
      <c r="C19" s="1021" t="s">
        <v>1275</v>
      </c>
      <c r="D19" s="1022"/>
      <c r="E19" s="1022"/>
      <c r="F19" s="1023"/>
      <c r="H19" s="640" t="s">
        <v>1243</v>
      </c>
      <c r="I19" s="641">
        <f>ROUNDUP((I6-I18)/I17,1)</f>
        <v>0.30000000000000004</v>
      </c>
      <c r="K19" s="657" t="s">
        <v>444</v>
      </c>
      <c r="L19" s="629">
        <f>'Infra Build BOQ'!AD248</f>
        <v>0</v>
      </c>
      <c r="M19" s="630">
        <f>L19/I4</f>
        <v>0</v>
      </c>
      <c r="N19" s="629">
        <f>'MATERIAL REQUEST'!S277</f>
        <v>0</v>
      </c>
      <c r="O19" s="630">
        <f>N19/I5</f>
        <v>0</v>
      </c>
      <c r="P19" s="629">
        <f>L19+N19</f>
        <v>0</v>
      </c>
      <c r="Q19" s="631">
        <f>P19/I6</f>
        <v>0</v>
      </c>
    </row>
    <row r="20" spans="2:17" ht="14.4" thickBot="1">
      <c r="B20" s="835" t="s">
        <v>346</v>
      </c>
      <c r="C20" s="1021"/>
      <c r="D20" s="1022"/>
      <c r="E20" s="1022"/>
      <c r="F20" s="1023"/>
      <c r="H20" s="640" t="s">
        <v>1241</v>
      </c>
      <c r="I20" s="641">
        <f>ROUNDUP(I19*12,0)</f>
        <v>4</v>
      </c>
      <c r="K20" s="660" t="s">
        <v>445</v>
      </c>
      <c r="L20" s="632">
        <f>'Infra Build BOQ'!AH248</f>
        <v>0</v>
      </c>
      <c r="M20" s="633">
        <f>L20/I4</f>
        <v>0</v>
      </c>
      <c r="N20" s="632">
        <f>'MATERIAL REQUEST'!W277</f>
        <v>0</v>
      </c>
      <c r="O20" s="633">
        <f>N20/I5</f>
        <v>0</v>
      </c>
      <c r="P20" s="632">
        <f>L20+N20</f>
        <v>0</v>
      </c>
      <c r="Q20" s="634">
        <f>P20/I6</f>
        <v>0</v>
      </c>
    </row>
    <row r="21" spans="2:17" ht="14.4" thickBot="1">
      <c r="B21" s="835" t="s">
        <v>459</v>
      </c>
      <c r="C21" s="1021" t="s">
        <v>1273</v>
      </c>
      <c r="D21" s="1022"/>
      <c r="E21" s="1022"/>
      <c r="F21" s="1023"/>
    </row>
    <row r="22" spans="2:17" ht="15" customHeight="1" thickBot="1">
      <c r="B22" s="835" t="s">
        <v>460</v>
      </c>
      <c r="C22" s="1021"/>
      <c r="D22" s="1022"/>
      <c r="E22" s="1022"/>
      <c r="F22" s="1023"/>
      <c r="H22" s="665" t="s">
        <v>314</v>
      </c>
      <c r="K22" s="654" t="s">
        <v>230</v>
      </c>
      <c r="L22" s="1030" t="s">
        <v>466</v>
      </c>
      <c r="M22" s="1030"/>
      <c r="N22" s="1030" t="s">
        <v>456</v>
      </c>
      <c r="O22" s="1033"/>
    </row>
    <row r="23" spans="2:17" ht="14.4" thickBot="1">
      <c r="B23" s="837" t="s">
        <v>461</v>
      </c>
      <c r="C23" s="1024"/>
      <c r="D23" s="1025"/>
      <c r="E23" s="1025"/>
      <c r="F23" s="1026"/>
      <c r="H23" s="637" t="s">
        <v>316</v>
      </c>
      <c r="I23" s="1016">
        <f>IF(I45=0,C51/C64,(C51+I35)/(C64+I45))</f>
        <v>0</v>
      </c>
      <c r="K23" s="655" t="s">
        <v>457</v>
      </c>
      <c r="L23" s="1031">
        <f>SUMIF(L4:L10,K23,O4:O10)</f>
        <v>0</v>
      </c>
      <c r="M23" s="1031"/>
      <c r="N23" s="1034" t="e">
        <f>L23/N11</f>
        <v>#DIV/0!</v>
      </c>
      <c r="O23" s="1035"/>
    </row>
    <row r="24" spans="2:17" ht="14.4" thickBot="1">
      <c r="C24" s="685"/>
      <c r="D24" s="685"/>
      <c r="E24" s="685"/>
      <c r="H24" s="638" t="s">
        <v>318</v>
      </c>
      <c r="I24" s="1017">
        <f>IF(I45=0,C52/C64,(C52+I36)/(C64+I45))</f>
        <v>0</v>
      </c>
      <c r="K24" s="660" t="s">
        <v>458</v>
      </c>
      <c r="L24" s="1032">
        <f>N11-L23</f>
        <v>0</v>
      </c>
      <c r="M24" s="1032"/>
      <c r="N24" s="1036" t="e">
        <f>L24/N11</f>
        <v>#DIV/0!</v>
      </c>
      <c r="O24" s="1037"/>
    </row>
    <row r="25" spans="2:17" ht="14.4" thickBot="1">
      <c r="C25" s="685"/>
      <c r="D25" s="685"/>
      <c r="E25" s="685"/>
      <c r="H25" s="666" t="s">
        <v>320</v>
      </c>
      <c r="I25" s="1018">
        <f>IF(I45=0,C63/C64,(C63+I44)/(C64+I45))</f>
        <v>1</v>
      </c>
    </row>
    <row r="26" spans="2:17" ht="14.4" thickBot="1">
      <c r="C26" s="685"/>
      <c r="D26" s="685"/>
      <c r="I26" s="625"/>
    </row>
    <row r="27" spans="2:17" ht="14.4" thickBot="1">
      <c r="C27" s="685"/>
      <c r="D27" s="685"/>
      <c r="H27" s="273" t="s">
        <v>341</v>
      </c>
    </row>
    <row r="28" spans="2:17">
      <c r="C28" s="685"/>
      <c r="D28" s="685"/>
      <c r="H28" s="637" t="s">
        <v>343</v>
      </c>
      <c r="I28" s="642">
        <v>0</v>
      </c>
    </row>
    <row r="29" spans="2:17">
      <c r="C29" s="685"/>
      <c r="D29" s="685"/>
      <c r="H29" s="659" t="s">
        <v>344</v>
      </c>
      <c r="I29" s="643" t="e">
        <f>ROUNDUP(I4/I28,2)</f>
        <v>#DIV/0!</v>
      </c>
    </row>
    <row r="30" spans="2:17" ht="14.4" thickBot="1">
      <c r="H30" s="667" t="s">
        <v>345</v>
      </c>
      <c r="I30" s="644" t="e">
        <f>ROUNDUP(I6/I28,2)</f>
        <v>#DIV/0!</v>
      </c>
    </row>
    <row r="31" spans="2:17" ht="14.4" thickBot="1"/>
    <row r="32" spans="2:17" ht="14.4" thickBot="1">
      <c r="B32" s="665" t="s">
        <v>312</v>
      </c>
      <c r="C32" s="649" t="s">
        <v>339</v>
      </c>
      <c r="E32" s="665" t="s">
        <v>312</v>
      </c>
      <c r="F32" s="649" t="s">
        <v>340</v>
      </c>
      <c r="H32" s="665" t="s">
        <v>313</v>
      </c>
      <c r="K32" s="668" t="s">
        <v>337</v>
      </c>
      <c r="L32" s="668"/>
      <c r="M32" s="668"/>
      <c r="N32" s="668"/>
      <c r="O32" s="668"/>
      <c r="P32" s="668"/>
      <c r="Q32" s="668"/>
    </row>
    <row r="33" spans="2:17" ht="14.4" customHeight="1">
      <c r="B33" s="637" t="s">
        <v>315</v>
      </c>
      <c r="C33" s="642">
        <v>0</v>
      </c>
      <c r="E33" s="637" t="s">
        <v>315</v>
      </c>
      <c r="F33" s="642">
        <v>0</v>
      </c>
      <c r="H33" s="637" t="s">
        <v>315</v>
      </c>
      <c r="I33" s="642">
        <v>0</v>
      </c>
      <c r="K33" s="1062"/>
      <c r="L33" s="1063"/>
      <c r="M33" s="1063"/>
      <c r="N33" s="1063"/>
      <c r="O33" s="1063"/>
      <c r="P33" s="1063"/>
      <c r="Q33" s="1064"/>
    </row>
    <row r="34" spans="2:17" ht="15" customHeight="1">
      <c r="B34" s="638" t="s">
        <v>317</v>
      </c>
      <c r="C34" s="645">
        <v>0</v>
      </c>
      <c r="E34" s="638" t="s">
        <v>317</v>
      </c>
      <c r="F34" s="645">
        <v>0</v>
      </c>
      <c r="H34" s="638" t="s">
        <v>317</v>
      </c>
      <c r="I34" s="645">
        <v>0</v>
      </c>
      <c r="K34" s="1027"/>
      <c r="L34" s="1028"/>
      <c r="M34" s="1028"/>
      <c r="N34" s="1028"/>
      <c r="O34" s="1028"/>
      <c r="P34" s="1028"/>
      <c r="Q34" s="1029"/>
    </row>
    <row r="35" spans="2:17" ht="15" customHeight="1">
      <c r="B35" s="671" t="s">
        <v>319</v>
      </c>
      <c r="C35" s="672">
        <f>C33+C34</f>
        <v>0</v>
      </c>
      <c r="E35" s="671" t="s">
        <v>319</v>
      </c>
      <c r="F35" s="672">
        <f>F33+F34</f>
        <v>0</v>
      </c>
      <c r="H35" s="671" t="s">
        <v>319</v>
      </c>
      <c r="I35" s="672">
        <f>I33+I34</f>
        <v>0</v>
      </c>
      <c r="K35" s="1027"/>
      <c r="L35" s="1028"/>
      <c r="M35" s="1028"/>
      <c r="N35" s="1028"/>
      <c r="O35" s="1028"/>
      <c r="P35" s="1028"/>
      <c r="Q35" s="1029"/>
    </row>
    <row r="36" spans="2:17" ht="15" customHeight="1">
      <c r="B36" s="638" t="s">
        <v>322</v>
      </c>
      <c r="C36" s="645">
        <v>0</v>
      </c>
      <c r="E36" s="638" t="s">
        <v>322</v>
      </c>
      <c r="F36" s="645">
        <v>0</v>
      </c>
      <c r="H36" s="638" t="s">
        <v>322</v>
      </c>
      <c r="I36" s="645">
        <v>0</v>
      </c>
      <c r="K36" s="1027"/>
      <c r="L36" s="1028"/>
      <c r="M36" s="1028"/>
      <c r="N36" s="1028"/>
      <c r="O36" s="1028"/>
      <c r="P36" s="1028"/>
      <c r="Q36" s="1029"/>
    </row>
    <row r="37" spans="2:17" ht="15" customHeight="1">
      <c r="B37" s="638" t="s">
        <v>472</v>
      </c>
      <c r="C37" s="645">
        <v>0</v>
      </c>
      <c r="E37" s="638" t="s">
        <v>472</v>
      </c>
      <c r="F37" s="645">
        <v>0</v>
      </c>
      <c r="H37" s="638" t="s">
        <v>472</v>
      </c>
      <c r="I37" s="645">
        <v>0</v>
      </c>
      <c r="K37" s="1027"/>
      <c r="L37" s="1028"/>
      <c r="M37" s="1028"/>
      <c r="N37" s="1028"/>
      <c r="O37" s="1028"/>
      <c r="P37" s="1028"/>
      <c r="Q37" s="1029"/>
    </row>
    <row r="38" spans="2:17" ht="15" customHeight="1">
      <c r="B38" s="671" t="s">
        <v>323</v>
      </c>
      <c r="C38" s="672">
        <f>C36+C37</f>
        <v>0</v>
      </c>
      <c r="E38" s="671" t="s">
        <v>323</v>
      </c>
      <c r="F38" s="672">
        <f>F36+F37</f>
        <v>0</v>
      </c>
      <c r="H38" s="671" t="s">
        <v>323</v>
      </c>
      <c r="I38" s="672">
        <f>I36+I37</f>
        <v>0</v>
      </c>
      <c r="K38" s="1027"/>
      <c r="L38" s="1028"/>
      <c r="M38" s="1028"/>
      <c r="N38" s="1028"/>
      <c r="O38" s="1028"/>
      <c r="P38" s="1028"/>
      <c r="Q38" s="1029"/>
    </row>
    <row r="39" spans="2:17" ht="15" customHeight="1">
      <c r="B39" s="638" t="s">
        <v>321</v>
      </c>
      <c r="C39" s="645">
        <v>0</v>
      </c>
      <c r="E39" s="638" t="s">
        <v>321</v>
      </c>
      <c r="F39" s="645">
        <v>0</v>
      </c>
      <c r="H39" s="638" t="s">
        <v>321</v>
      </c>
      <c r="I39" s="645">
        <v>0</v>
      </c>
      <c r="K39" s="1027"/>
      <c r="L39" s="1028"/>
      <c r="M39" s="1028"/>
      <c r="N39" s="1028"/>
      <c r="O39" s="1028"/>
      <c r="P39" s="1028"/>
      <c r="Q39" s="1029"/>
    </row>
    <row r="40" spans="2:17" ht="15" customHeight="1">
      <c r="B40" s="638" t="s">
        <v>324</v>
      </c>
      <c r="C40" s="645">
        <v>0</v>
      </c>
      <c r="E40" s="638" t="s">
        <v>324</v>
      </c>
      <c r="F40" s="645">
        <v>0</v>
      </c>
      <c r="H40" s="638" t="s">
        <v>324</v>
      </c>
      <c r="I40" s="645">
        <v>0</v>
      </c>
      <c r="K40" s="1027"/>
      <c r="L40" s="1028"/>
      <c r="M40" s="1028"/>
      <c r="N40" s="1028"/>
      <c r="O40" s="1028"/>
      <c r="P40" s="1028"/>
      <c r="Q40" s="1029"/>
    </row>
    <row r="41" spans="2:17" ht="15" customHeight="1">
      <c r="B41" s="638" t="s">
        <v>325</v>
      </c>
      <c r="C41" s="645">
        <v>0</v>
      </c>
      <c r="E41" s="638" t="s">
        <v>325</v>
      </c>
      <c r="F41" s="645">
        <v>0</v>
      </c>
      <c r="H41" s="638" t="s">
        <v>325</v>
      </c>
      <c r="I41" s="645">
        <v>0</v>
      </c>
      <c r="K41" s="1027"/>
      <c r="L41" s="1028"/>
      <c r="M41" s="1028"/>
      <c r="N41" s="1028"/>
      <c r="O41" s="1028"/>
      <c r="P41" s="1028"/>
      <c r="Q41" s="1029"/>
    </row>
    <row r="42" spans="2:17" ht="15" customHeight="1">
      <c r="B42" s="638" t="s">
        <v>326</v>
      </c>
      <c r="C42" s="645">
        <v>0</v>
      </c>
      <c r="E42" s="638" t="s">
        <v>326</v>
      </c>
      <c r="F42" s="645">
        <v>0</v>
      </c>
      <c r="H42" s="638" t="s">
        <v>326</v>
      </c>
      <c r="I42" s="645">
        <v>0</v>
      </c>
      <c r="K42" s="1027"/>
      <c r="L42" s="1028"/>
      <c r="M42" s="1028"/>
      <c r="N42" s="1028"/>
      <c r="O42" s="1028"/>
      <c r="P42" s="1028"/>
      <c r="Q42" s="1029"/>
    </row>
    <row r="43" spans="2:17" ht="15" customHeight="1">
      <c r="B43" s="639" t="s">
        <v>1158</v>
      </c>
      <c r="C43" s="645">
        <v>0</v>
      </c>
      <c r="E43" s="639" t="s">
        <v>1158</v>
      </c>
      <c r="F43" s="842">
        <v>0</v>
      </c>
      <c r="H43" s="639" t="s">
        <v>1158</v>
      </c>
      <c r="I43" s="842">
        <v>0</v>
      </c>
      <c r="K43" s="1027"/>
      <c r="L43" s="1028"/>
      <c r="M43" s="1028"/>
      <c r="N43" s="1028"/>
      <c r="O43" s="1028"/>
      <c r="P43" s="1028"/>
      <c r="Q43" s="1029"/>
    </row>
    <row r="44" spans="2:17" ht="15" customHeight="1" thickBot="1">
      <c r="B44" s="673" t="s">
        <v>961</v>
      </c>
      <c r="C44" s="674">
        <f>C39+C40+C41+C42+C43</f>
        <v>0</v>
      </c>
      <c r="E44" s="673" t="s">
        <v>961</v>
      </c>
      <c r="F44" s="674">
        <f>F39+F40+F41+F42+F43</f>
        <v>0</v>
      </c>
      <c r="H44" s="673" t="s">
        <v>961</v>
      </c>
      <c r="I44" s="674">
        <f>I39+I40+I41+I42+I43</f>
        <v>0</v>
      </c>
      <c r="K44" s="1027"/>
      <c r="L44" s="1028"/>
      <c r="M44" s="1028"/>
      <c r="N44" s="1028"/>
      <c r="O44" s="1028"/>
      <c r="P44" s="1028"/>
      <c r="Q44" s="1029"/>
    </row>
    <row r="45" spans="2:17" ht="15.75" customHeight="1" thickBot="1">
      <c r="B45" s="658" t="s">
        <v>327</v>
      </c>
      <c r="C45" s="646">
        <f>C35+C38+C44</f>
        <v>0</v>
      </c>
      <c r="E45" s="658" t="s">
        <v>327</v>
      </c>
      <c r="F45" s="646">
        <f>F35+F38+F44</f>
        <v>0</v>
      </c>
      <c r="H45" s="658" t="s">
        <v>327</v>
      </c>
      <c r="I45" s="646">
        <f>I35+I38+I44</f>
        <v>0</v>
      </c>
      <c r="K45" s="1070"/>
      <c r="L45" s="1071"/>
      <c r="M45" s="1071"/>
      <c r="N45" s="1071"/>
      <c r="O45" s="1071"/>
      <c r="P45" s="1071"/>
      <c r="Q45" s="1072"/>
    </row>
    <row r="47" spans="2:17" ht="14.4" thickBot="1"/>
    <row r="48" spans="2:17" ht="15" customHeight="1" thickBot="1">
      <c r="B48" s="665" t="s">
        <v>335</v>
      </c>
      <c r="K48" s="668" t="s">
        <v>338</v>
      </c>
      <c r="L48" s="668"/>
      <c r="M48" s="668"/>
      <c r="N48" s="668"/>
      <c r="O48" s="668"/>
      <c r="P48" s="668"/>
    </row>
    <row r="49" spans="2:17" ht="15" customHeight="1">
      <c r="B49" s="637" t="s">
        <v>315</v>
      </c>
      <c r="C49" s="642">
        <v>0</v>
      </c>
      <c r="K49" s="1062"/>
      <c r="L49" s="1063"/>
      <c r="M49" s="1063"/>
      <c r="N49" s="1063"/>
      <c r="O49" s="1063"/>
      <c r="P49" s="1063"/>
      <c r="Q49" s="1064"/>
    </row>
    <row r="50" spans="2:17" ht="15" customHeight="1">
      <c r="B50" s="638" t="s">
        <v>317</v>
      </c>
      <c r="C50" s="645">
        <v>0</v>
      </c>
      <c r="K50" s="1027"/>
      <c r="L50" s="1028"/>
      <c r="M50" s="1028"/>
      <c r="N50" s="1028"/>
      <c r="O50" s="1028"/>
      <c r="P50" s="1028"/>
      <c r="Q50" s="1029"/>
    </row>
    <row r="51" spans="2:17" ht="15" customHeight="1">
      <c r="B51" s="671" t="s">
        <v>319</v>
      </c>
      <c r="C51" s="672">
        <f>C49+C50</f>
        <v>0</v>
      </c>
      <c r="K51" s="1027"/>
      <c r="L51" s="1028"/>
      <c r="M51" s="1028"/>
      <c r="N51" s="1028"/>
      <c r="O51" s="1028"/>
      <c r="P51" s="1028"/>
      <c r="Q51" s="1029"/>
    </row>
    <row r="52" spans="2:17" ht="15" customHeight="1">
      <c r="B52" s="638" t="s">
        <v>322</v>
      </c>
      <c r="C52" s="645">
        <v>0</v>
      </c>
      <c r="K52" s="1027"/>
      <c r="L52" s="1028"/>
      <c r="M52" s="1028"/>
      <c r="N52" s="1028"/>
      <c r="O52" s="1028"/>
      <c r="P52" s="1028"/>
      <c r="Q52" s="1029"/>
    </row>
    <row r="53" spans="2:17" ht="15" customHeight="1">
      <c r="B53" s="638" t="s">
        <v>472</v>
      </c>
      <c r="C53" s="645">
        <v>0</v>
      </c>
      <c r="K53" s="1027"/>
      <c r="L53" s="1028"/>
      <c r="M53" s="1028"/>
      <c r="N53" s="1028"/>
      <c r="O53" s="1028"/>
      <c r="P53" s="1028"/>
      <c r="Q53" s="1029"/>
    </row>
    <row r="54" spans="2:17" ht="15" customHeight="1">
      <c r="B54" s="671" t="s">
        <v>323</v>
      </c>
      <c r="C54" s="672">
        <f>C52+C53</f>
        <v>0</v>
      </c>
      <c r="K54" s="1027"/>
      <c r="L54" s="1028"/>
      <c r="M54" s="1028"/>
      <c r="N54" s="1028"/>
      <c r="O54" s="1028"/>
      <c r="P54" s="1028"/>
      <c r="Q54" s="1029"/>
    </row>
    <row r="55" spans="2:17" ht="15" customHeight="1">
      <c r="B55" s="638" t="s">
        <v>321</v>
      </c>
      <c r="C55" s="645">
        <v>3</v>
      </c>
      <c r="K55" s="1027"/>
      <c r="L55" s="1028"/>
      <c r="M55" s="1028"/>
      <c r="N55" s="1028"/>
      <c r="O55" s="1028"/>
      <c r="P55" s="1028"/>
      <c r="Q55" s="1029"/>
    </row>
    <row r="56" spans="2:17" ht="15" customHeight="1">
      <c r="B56" s="638" t="s">
        <v>328</v>
      </c>
      <c r="C56" s="645">
        <v>0</v>
      </c>
      <c r="K56" s="1027"/>
      <c r="L56" s="1028"/>
      <c r="M56" s="1028"/>
      <c r="N56" s="1028"/>
      <c r="O56" s="1028"/>
      <c r="P56" s="1028"/>
      <c r="Q56" s="1029"/>
    </row>
    <row r="57" spans="2:17" ht="15" customHeight="1">
      <c r="B57" s="638" t="s">
        <v>329</v>
      </c>
      <c r="C57" s="645">
        <v>0</v>
      </c>
      <c r="K57" s="1027"/>
      <c r="L57" s="1028"/>
      <c r="M57" s="1028"/>
      <c r="N57" s="1028"/>
      <c r="O57" s="1028"/>
      <c r="P57" s="1028"/>
      <c r="Q57" s="1029"/>
    </row>
    <row r="58" spans="2:17" ht="15" customHeight="1">
      <c r="B58" s="638" t="s">
        <v>330</v>
      </c>
      <c r="C58" s="645">
        <v>0</v>
      </c>
      <c r="K58" s="1027"/>
      <c r="L58" s="1028"/>
      <c r="M58" s="1028"/>
      <c r="N58" s="1028"/>
      <c r="O58" s="1028"/>
      <c r="P58" s="1028"/>
      <c r="Q58" s="1029"/>
    </row>
    <row r="59" spans="2:17" ht="15" customHeight="1">
      <c r="B59" s="638" t="s">
        <v>325</v>
      </c>
      <c r="C59" s="645">
        <v>0</v>
      </c>
      <c r="K59" s="1027"/>
      <c r="L59" s="1028"/>
      <c r="M59" s="1028"/>
      <c r="N59" s="1028"/>
      <c r="O59" s="1028"/>
      <c r="P59" s="1028"/>
      <c r="Q59" s="1029"/>
    </row>
    <row r="60" spans="2:17" ht="15" customHeight="1">
      <c r="B60" s="638" t="s">
        <v>326</v>
      </c>
      <c r="C60" s="645">
        <v>0</v>
      </c>
      <c r="K60" s="1027"/>
      <c r="L60" s="1028"/>
      <c r="M60" s="1028"/>
      <c r="N60" s="1028"/>
      <c r="O60" s="1028"/>
      <c r="P60" s="1028"/>
      <c r="Q60" s="1029"/>
    </row>
    <row r="61" spans="2:17" ht="15" customHeight="1">
      <c r="B61" s="639" t="s">
        <v>1158</v>
      </c>
      <c r="C61" s="645">
        <v>0</v>
      </c>
      <c r="K61" s="1027"/>
      <c r="L61" s="1028"/>
      <c r="M61" s="1028"/>
      <c r="N61" s="1028"/>
      <c r="O61" s="1028"/>
      <c r="P61" s="1028"/>
      <c r="Q61" s="1029"/>
    </row>
    <row r="62" spans="2:17" ht="15" customHeight="1">
      <c r="B62" s="669" t="s">
        <v>331</v>
      </c>
      <c r="C62" s="647">
        <v>52</v>
      </c>
      <c r="K62" s="1027"/>
      <c r="L62" s="1028"/>
      <c r="M62" s="1028"/>
      <c r="N62" s="1028"/>
      <c r="O62" s="1028"/>
      <c r="P62" s="1028"/>
      <c r="Q62" s="1029"/>
    </row>
    <row r="63" spans="2:17" ht="15" customHeight="1" thickBot="1">
      <c r="B63" s="671" t="s">
        <v>961</v>
      </c>
      <c r="C63" s="672">
        <f>C55+C56+C57+C58+C59+C60+C61+C62</f>
        <v>55</v>
      </c>
      <c r="K63" s="1027"/>
      <c r="L63" s="1028"/>
      <c r="M63" s="1028"/>
      <c r="N63" s="1028"/>
      <c r="O63" s="1028"/>
      <c r="P63" s="1028"/>
      <c r="Q63" s="1029"/>
    </row>
    <row r="64" spans="2:17" ht="14.4" thickBot="1">
      <c r="B64" s="658" t="s">
        <v>327</v>
      </c>
      <c r="C64" s="646">
        <f>C51+C54+C63</f>
        <v>55</v>
      </c>
      <c r="K64" s="1070"/>
      <c r="L64" s="1071"/>
      <c r="M64" s="1071"/>
      <c r="N64" s="1071"/>
      <c r="O64" s="1071"/>
      <c r="P64" s="1071"/>
      <c r="Q64" s="1072"/>
    </row>
    <row r="66" spans="2:17" ht="14.4" thickBot="1">
      <c r="B66" s="649" t="s">
        <v>332</v>
      </c>
    </row>
    <row r="67" spans="2:17" ht="14.4" customHeight="1">
      <c r="B67" s="670" t="s">
        <v>351</v>
      </c>
      <c r="C67" s="933"/>
      <c r="D67" s="933"/>
      <c r="E67" s="933"/>
      <c r="F67" s="933"/>
      <c r="G67" s="933"/>
      <c r="H67" s="933"/>
      <c r="I67" s="933"/>
      <c r="J67" s="933"/>
      <c r="K67" s="933"/>
      <c r="L67" s="933"/>
      <c r="M67" s="933"/>
      <c r="N67" s="933"/>
      <c r="O67" s="933"/>
      <c r="P67" s="933"/>
      <c r="Q67" s="934"/>
    </row>
    <row r="68" spans="2:17">
      <c r="B68" s="938"/>
      <c r="C68" s="939"/>
      <c r="D68" s="939"/>
      <c r="E68" s="939"/>
      <c r="F68" s="939"/>
      <c r="G68" s="939"/>
      <c r="H68" s="939"/>
      <c r="I68" s="939"/>
      <c r="J68" s="939"/>
      <c r="K68" s="939"/>
      <c r="L68" s="939"/>
      <c r="M68" s="939"/>
      <c r="N68" s="939"/>
      <c r="O68" s="939"/>
      <c r="P68" s="939"/>
      <c r="Q68" s="940"/>
    </row>
    <row r="69" spans="2:17">
      <c r="B69" s="938"/>
      <c r="C69" s="939"/>
      <c r="D69" s="939"/>
      <c r="E69" s="939"/>
      <c r="F69" s="939"/>
      <c r="G69" s="939"/>
      <c r="H69" s="939"/>
      <c r="I69" s="939"/>
      <c r="J69" s="939"/>
      <c r="K69" s="939"/>
      <c r="L69" s="939"/>
      <c r="M69" s="939"/>
      <c r="N69" s="939"/>
      <c r="O69" s="939"/>
      <c r="P69" s="939"/>
      <c r="Q69" s="940"/>
    </row>
    <row r="70" spans="2:17">
      <c r="B70" s="938"/>
      <c r="C70" s="939"/>
      <c r="D70" s="939"/>
      <c r="E70" s="939"/>
      <c r="F70" s="939"/>
      <c r="G70" s="939"/>
      <c r="H70" s="939"/>
      <c r="I70" s="939"/>
      <c r="J70" s="939"/>
      <c r="K70" s="939"/>
      <c r="L70" s="939"/>
      <c r="M70" s="939"/>
      <c r="N70" s="939"/>
      <c r="O70" s="939"/>
      <c r="P70" s="939"/>
      <c r="Q70" s="940"/>
    </row>
    <row r="71" spans="2:17">
      <c r="B71" s="938"/>
      <c r="C71" s="939"/>
      <c r="D71" s="939"/>
      <c r="E71" s="939"/>
      <c r="F71" s="939"/>
      <c r="G71" s="939"/>
      <c r="H71" s="939"/>
      <c r="I71" s="939"/>
      <c r="J71" s="939"/>
      <c r="K71" s="939"/>
      <c r="L71" s="939"/>
      <c r="M71" s="939"/>
      <c r="N71" s="939"/>
      <c r="O71" s="939"/>
      <c r="P71" s="939"/>
      <c r="Q71" s="940"/>
    </row>
    <row r="72" spans="2:17">
      <c r="B72" s="938"/>
      <c r="C72" s="939"/>
      <c r="D72" s="939"/>
      <c r="E72" s="939"/>
      <c r="F72" s="939"/>
      <c r="G72" s="939"/>
      <c r="H72" s="939"/>
      <c r="I72" s="939"/>
      <c r="J72" s="939"/>
      <c r="K72" s="939"/>
      <c r="L72" s="939"/>
      <c r="M72" s="939"/>
      <c r="N72" s="939"/>
      <c r="O72" s="939"/>
      <c r="P72" s="939"/>
      <c r="Q72" s="940"/>
    </row>
    <row r="73" spans="2:17">
      <c r="B73" s="938"/>
      <c r="C73" s="939"/>
      <c r="D73" s="939"/>
      <c r="E73" s="939"/>
      <c r="F73" s="939"/>
      <c r="G73" s="939"/>
      <c r="H73" s="939"/>
      <c r="I73" s="939"/>
      <c r="J73" s="939"/>
      <c r="K73" s="939"/>
      <c r="L73" s="939"/>
      <c r="M73" s="939"/>
      <c r="N73" s="939"/>
      <c r="O73" s="939"/>
      <c r="P73" s="939"/>
      <c r="Q73" s="940"/>
    </row>
    <row r="74" spans="2:17">
      <c r="B74" s="938"/>
      <c r="C74" s="939"/>
      <c r="D74" s="939"/>
      <c r="E74" s="939"/>
      <c r="F74" s="939"/>
      <c r="G74" s="939"/>
      <c r="H74" s="939"/>
      <c r="I74" s="939"/>
      <c r="J74" s="939"/>
      <c r="K74" s="939"/>
      <c r="L74" s="939"/>
      <c r="M74" s="939"/>
      <c r="N74" s="939"/>
      <c r="O74" s="939"/>
      <c r="P74" s="939"/>
      <c r="Q74" s="940"/>
    </row>
    <row r="75" spans="2:17">
      <c r="B75" s="938"/>
      <c r="C75" s="939"/>
      <c r="D75" s="939"/>
      <c r="E75" s="939"/>
      <c r="F75" s="939"/>
      <c r="G75" s="939"/>
      <c r="H75" s="939"/>
      <c r="I75" s="939"/>
      <c r="J75" s="939"/>
      <c r="K75" s="939"/>
      <c r="L75" s="939"/>
      <c r="M75" s="939"/>
      <c r="N75" s="939"/>
      <c r="O75" s="939"/>
      <c r="P75" s="939"/>
      <c r="Q75" s="940"/>
    </row>
    <row r="76" spans="2:17">
      <c r="B76" s="938"/>
      <c r="C76" s="939"/>
      <c r="D76" s="939"/>
      <c r="E76" s="939"/>
      <c r="F76" s="939"/>
      <c r="G76" s="939"/>
      <c r="H76" s="939"/>
      <c r="I76" s="939"/>
      <c r="J76" s="939"/>
      <c r="K76" s="939"/>
      <c r="L76" s="939"/>
      <c r="M76" s="939"/>
      <c r="N76" s="939"/>
      <c r="O76" s="939"/>
      <c r="P76" s="939"/>
      <c r="Q76" s="940"/>
    </row>
    <row r="77" spans="2:17">
      <c r="B77" s="938"/>
      <c r="C77" s="939"/>
      <c r="D77" s="939"/>
      <c r="E77" s="939"/>
      <c r="F77" s="939"/>
      <c r="G77" s="939"/>
      <c r="H77" s="939"/>
      <c r="I77" s="939"/>
      <c r="J77" s="939"/>
      <c r="K77" s="939"/>
      <c r="L77" s="939"/>
      <c r="M77" s="939"/>
      <c r="N77" s="939"/>
      <c r="O77" s="939"/>
      <c r="P77" s="939"/>
      <c r="Q77" s="940"/>
    </row>
    <row r="78" spans="2:17">
      <c r="B78" s="938"/>
      <c r="C78" s="939"/>
      <c r="D78" s="939"/>
      <c r="E78" s="939"/>
      <c r="F78" s="939"/>
      <c r="G78" s="939"/>
      <c r="H78" s="939"/>
      <c r="I78" s="939"/>
      <c r="J78" s="939"/>
      <c r="K78" s="939"/>
      <c r="L78" s="939"/>
      <c r="M78" s="939"/>
      <c r="N78" s="939"/>
      <c r="O78" s="939"/>
      <c r="P78" s="939"/>
      <c r="Q78" s="940"/>
    </row>
    <row r="79" spans="2:17">
      <c r="B79" s="938"/>
      <c r="C79" s="939"/>
      <c r="D79" s="939"/>
      <c r="E79" s="939"/>
      <c r="F79" s="939"/>
      <c r="G79" s="939"/>
      <c r="H79" s="939"/>
      <c r="I79" s="939"/>
      <c r="J79" s="939"/>
      <c r="K79" s="939"/>
      <c r="L79" s="939"/>
      <c r="M79" s="939"/>
      <c r="N79" s="939"/>
      <c r="O79" s="939"/>
      <c r="P79" s="939"/>
      <c r="Q79" s="940"/>
    </row>
    <row r="80" spans="2:17">
      <c r="B80" s="938"/>
      <c r="C80" s="939"/>
      <c r="D80" s="939"/>
      <c r="E80" s="939"/>
      <c r="F80" s="939"/>
      <c r="G80" s="939"/>
      <c r="H80" s="939"/>
      <c r="I80" s="939"/>
      <c r="J80" s="939"/>
      <c r="K80" s="939"/>
      <c r="L80" s="939"/>
      <c r="M80" s="939"/>
      <c r="N80" s="939"/>
      <c r="O80" s="939"/>
      <c r="P80" s="939"/>
      <c r="Q80" s="940"/>
    </row>
    <row r="81" spans="2:17">
      <c r="B81" s="938"/>
      <c r="C81" s="939"/>
      <c r="D81" s="939"/>
      <c r="E81" s="939"/>
      <c r="F81" s="939"/>
      <c r="G81" s="939"/>
      <c r="H81" s="939"/>
      <c r="I81" s="939"/>
      <c r="J81" s="939"/>
      <c r="K81" s="939"/>
      <c r="L81" s="939"/>
      <c r="M81" s="939"/>
      <c r="N81" s="939"/>
      <c r="O81" s="939"/>
      <c r="P81" s="939"/>
      <c r="Q81" s="940"/>
    </row>
    <row r="82" spans="2:17">
      <c r="B82" s="938"/>
      <c r="C82" s="939"/>
      <c r="D82" s="939"/>
      <c r="E82" s="939"/>
      <c r="F82" s="939"/>
      <c r="G82" s="939"/>
      <c r="H82" s="939"/>
      <c r="I82" s="939"/>
      <c r="J82" s="939"/>
      <c r="K82" s="939"/>
      <c r="L82" s="939"/>
      <c r="M82" s="939"/>
      <c r="N82" s="939"/>
      <c r="O82" s="939"/>
      <c r="P82" s="939"/>
      <c r="Q82" s="940"/>
    </row>
    <row r="83" spans="2:17">
      <c r="B83" s="938"/>
      <c r="C83" s="939"/>
      <c r="D83" s="939"/>
      <c r="E83" s="939"/>
      <c r="F83" s="939"/>
      <c r="G83" s="939"/>
      <c r="H83" s="939"/>
      <c r="I83" s="939"/>
      <c r="J83" s="939"/>
      <c r="K83" s="939"/>
      <c r="L83" s="939"/>
      <c r="M83" s="939"/>
      <c r="N83" s="939"/>
      <c r="O83" s="939"/>
      <c r="P83" s="939"/>
      <c r="Q83" s="940"/>
    </row>
    <row r="84" spans="2:17">
      <c r="B84" s="938"/>
      <c r="C84" s="939"/>
      <c r="D84" s="939"/>
      <c r="E84" s="939"/>
      <c r="F84" s="939"/>
      <c r="G84" s="939"/>
      <c r="H84" s="939"/>
      <c r="I84" s="939"/>
      <c r="J84" s="939"/>
      <c r="K84" s="939"/>
      <c r="L84" s="939"/>
      <c r="M84" s="939"/>
      <c r="N84" s="939"/>
      <c r="O84" s="939"/>
      <c r="P84" s="939"/>
      <c r="Q84" s="940"/>
    </row>
    <row r="85" spans="2:17">
      <c r="B85" s="938"/>
      <c r="C85" s="939"/>
      <c r="D85" s="939"/>
      <c r="E85" s="939"/>
      <c r="F85" s="939"/>
      <c r="G85" s="939"/>
      <c r="H85" s="939"/>
      <c r="I85" s="939"/>
      <c r="J85" s="939"/>
      <c r="K85" s="939"/>
      <c r="L85" s="939"/>
      <c r="M85" s="939"/>
      <c r="N85" s="939"/>
      <c r="O85" s="939"/>
      <c r="P85" s="939"/>
      <c r="Q85" s="940"/>
    </row>
    <row r="86" spans="2:17">
      <c r="B86" s="938"/>
      <c r="C86" s="939"/>
      <c r="D86" s="939"/>
      <c r="E86" s="939"/>
      <c r="F86" s="939"/>
      <c r="G86" s="939"/>
      <c r="H86" s="939"/>
      <c r="I86" s="939"/>
      <c r="J86" s="939"/>
      <c r="K86" s="939"/>
      <c r="L86" s="939"/>
      <c r="M86" s="939"/>
      <c r="N86" s="939"/>
      <c r="O86" s="939"/>
      <c r="P86" s="939"/>
      <c r="Q86" s="940"/>
    </row>
    <row r="87" spans="2:17">
      <c r="B87" s="938"/>
      <c r="C87" s="939"/>
      <c r="D87" s="939"/>
      <c r="E87" s="939"/>
      <c r="F87" s="939"/>
      <c r="G87" s="939"/>
      <c r="H87" s="939"/>
      <c r="I87" s="939"/>
      <c r="J87" s="939"/>
      <c r="K87" s="939"/>
      <c r="L87" s="939"/>
      <c r="M87" s="939"/>
      <c r="N87" s="939"/>
      <c r="O87" s="939"/>
      <c r="P87" s="939"/>
      <c r="Q87" s="940"/>
    </row>
    <row r="88" spans="2:17">
      <c r="B88" s="938"/>
      <c r="C88" s="939"/>
      <c r="D88" s="939"/>
      <c r="E88" s="939"/>
      <c r="F88" s="939"/>
      <c r="G88" s="939"/>
      <c r="H88" s="939"/>
      <c r="I88" s="939"/>
      <c r="J88" s="939"/>
      <c r="K88" s="939"/>
      <c r="L88" s="939"/>
      <c r="M88" s="939"/>
      <c r="N88" s="939"/>
      <c r="O88" s="939"/>
      <c r="P88" s="939"/>
      <c r="Q88" s="940"/>
    </row>
    <row r="89" spans="2:17">
      <c r="B89" s="938"/>
      <c r="C89" s="939"/>
      <c r="D89" s="939"/>
      <c r="E89" s="939"/>
      <c r="F89" s="939"/>
      <c r="G89" s="939"/>
      <c r="H89" s="939"/>
      <c r="I89" s="939"/>
      <c r="J89" s="939"/>
      <c r="K89" s="939"/>
      <c r="L89" s="939"/>
      <c r="M89" s="939"/>
      <c r="N89" s="939"/>
      <c r="O89" s="939"/>
      <c r="P89" s="939"/>
      <c r="Q89" s="940"/>
    </row>
    <row r="90" spans="2:17">
      <c r="B90" s="938"/>
      <c r="C90" s="939"/>
      <c r="D90" s="939"/>
      <c r="E90" s="939"/>
      <c r="F90" s="939"/>
      <c r="G90" s="939"/>
      <c r="H90" s="939"/>
      <c r="I90" s="939"/>
      <c r="J90" s="939"/>
      <c r="K90" s="939"/>
      <c r="L90" s="939"/>
      <c r="M90" s="939"/>
      <c r="N90" s="939"/>
      <c r="O90" s="939"/>
      <c r="P90" s="939"/>
      <c r="Q90" s="940"/>
    </row>
    <row r="91" spans="2:17">
      <c r="B91" s="938"/>
      <c r="C91" s="939"/>
      <c r="D91" s="939"/>
      <c r="E91" s="939"/>
      <c r="F91" s="939"/>
      <c r="G91" s="939"/>
      <c r="H91" s="939"/>
      <c r="I91" s="939"/>
      <c r="J91" s="939"/>
      <c r="K91" s="939"/>
      <c r="L91" s="939"/>
      <c r="M91" s="939"/>
      <c r="N91" s="939"/>
      <c r="O91" s="939"/>
      <c r="P91" s="939"/>
      <c r="Q91" s="940"/>
    </row>
    <row r="92" spans="2:17">
      <c r="B92" s="938"/>
      <c r="C92" s="939"/>
      <c r="D92" s="939"/>
      <c r="E92" s="939"/>
      <c r="F92" s="939"/>
      <c r="G92" s="939"/>
      <c r="H92" s="939"/>
      <c r="I92" s="939"/>
      <c r="J92" s="939"/>
      <c r="K92" s="939"/>
      <c r="L92" s="939"/>
      <c r="M92" s="939"/>
      <c r="N92" s="939"/>
      <c r="O92" s="939"/>
      <c r="P92" s="939"/>
      <c r="Q92" s="940"/>
    </row>
    <row r="93" spans="2:17">
      <c r="B93" s="938"/>
      <c r="C93" s="939"/>
      <c r="D93" s="939"/>
      <c r="E93" s="939"/>
      <c r="F93" s="939"/>
      <c r="G93" s="939"/>
      <c r="H93" s="939"/>
      <c r="I93" s="939"/>
      <c r="J93" s="939"/>
      <c r="K93" s="939"/>
      <c r="L93" s="939"/>
      <c r="M93" s="939"/>
      <c r="N93" s="939"/>
      <c r="O93" s="939"/>
      <c r="P93" s="939"/>
      <c r="Q93" s="940"/>
    </row>
    <row r="94" spans="2:17">
      <c r="B94" s="938"/>
      <c r="C94" s="939"/>
      <c r="D94" s="939"/>
      <c r="E94" s="939"/>
      <c r="F94" s="939"/>
      <c r="G94" s="939"/>
      <c r="H94" s="939"/>
      <c r="I94" s="939"/>
      <c r="J94" s="939"/>
      <c r="K94" s="939"/>
      <c r="L94" s="939"/>
      <c r="M94" s="939"/>
      <c r="N94" s="939"/>
      <c r="O94" s="939"/>
      <c r="P94" s="939"/>
      <c r="Q94" s="940"/>
    </row>
    <row r="95" spans="2:17" ht="15" customHeight="1" thickBot="1">
      <c r="B95" s="935"/>
      <c r="C95" s="936"/>
      <c r="D95" s="936"/>
      <c r="E95" s="936"/>
      <c r="F95" s="936"/>
      <c r="G95" s="936"/>
      <c r="H95" s="936"/>
      <c r="I95" s="936"/>
      <c r="J95" s="936"/>
      <c r="K95" s="936"/>
      <c r="L95" s="936"/>
      <c r="M95" s="936"/>
      <c r="N95" s="936"/>
      <c r="O95" s="936"/>
      <c r="P95" s="936"/>
      <c r="Q95" s="937"/>
    </row>
  </sheetData>
  <sheetProtection algorithmName="SHA-512" hashValue="pWBo/tlgZdeUE010HC20VnK7hqrv2qzK59O4SXlpdYD8bQQ4s9q0kpPaz5Xwp9GZ0UzuJph+Fzf+d6b8FcjGww==" saltValue="dPUNaaYuRIpT/fqVDXFGNw==" spinCount="100000" sheet="1" formatCells="0" formatColumns="0" formatRows="0" insertHyperlinks="0" sort="0" autoFilter="0" pivotTables="0"/>
  <mergeCells count="75">
    <mergeCell ref="K56:Q56"/>
    <mergeCell ref="K53:Q53"/>
    <mergeCell ref="K54:Q54"/>
    <mergeCell ref="K55:Q55"/>
    <mergeCell ref="K64:Q64"/>
    <mergeCell ref="K57:Q57"/>
    <mergeCell ref="K58:Q58"/>
    <mergeCell ref="K60:Q60"/>
    <mergeCell ref="K62:Q62"/>
    <mergeCell ref="K63:Q63"/>
    <mergeCell ref="K59:Q59"/>
    <mergeCell ref="K61:Q61"/>
    <mergeCell ref="K45:Q45"/>
    <mergeCell ref="K49:Q49"/>
    <mergeCell ref="K50:Q50"/>
    <mergeCell ref="K51:Q51"/>
    <mergeCell ref="K52:Q52"/>
    <mergeCell ref="C14:F14"/>
    <mergeCell ref="C15:F15"/>
    <mergeCell ref="C16:F16"/>
    <mergeCell ref="C17:F17"/>
    <mergeCell ref="K44:Q44"/>
    <mergeCell ref="K35:Q35"/>
    <mergeCell ref="K36:Q36"/>
    <mergeCell ref="K37:Q37"/>
    <mergeCell ref="K38:Q38"/>
    <mergeCell ref="K40:Q40"/>
    <mergeCell ref="K43:Q43"/>
    <mergeCell ref="K41:Q41"/>
    <mergeCell ref="K42:Q42"/>
    <mergeCell ref="C18:F18"/>
    <mergeCell ref="C19:F19"/>
    <mergeCell ref="C20:F20"/>
    <mergeCell ref="L10:M10"/>
    <mergeCell ref="C4:F4"/>
    <mergeCell ref="B1:E1"/>
    <mergeCell ref="K33:Q33"/>
    <mergeCell ref="K34:Q34"/>
    <mergeCell ref="L3:M3"/>
    <mergeCell ref="N3:O3"/>
    <mergeCell ref="C5:F5"/>
    <mergeCell ref="C6:F6"/>
    <mergeCell ref="C7:F7"/>
    <mergeCell ref="C8:F8"/>
    <mergeCell ref="C9:F9"/>
    <mergeCell ref="C10:F10"/>
    <mergeCell ref="C11:F11"/>
    <mergeCell ref="C12:F12"/>
    <mergeCell ref="C13:F13"/>
    <mergeCell ref="W13:Y13"/>
    <mergeCell ref="L4:M4"/>
    <mergeCell ref="L5:M5"/>
    <mergeCell ref="L6:M6"/>
    <mergeCell ref="L7:M7"/>
    <mergeCell ref="L8:M8"/>
    <mergeCell ref="N4:O4"/>
    <mergeCell ref="N5:O5"/>
    <mergeCell ref="N6:O6"/>
    <mergeCell ref="N7:O7"/>
    <mergeCell ref="N8:O8"/>
    <mergeCell ref="N9:O9"/>
    <mergeCell ref="N10:O10"/>
    <mergeCell ref="N11:O11"/>
    <mergeCell ref="L11:M11"/>
    <mergeCell ref="L9:M9"/>
    <mergeCell ref="C21:F21"/>
    <mergeCell ref="C22:F22"/>
    <mergeCell ref="C23:F23"/>
    <mergeCell ref="K39:Q39"/>
    <mergeCell ref="L22:M22"/>
    <mergeCell ref="L23:M23"/>
    <mergeCell ref="L24:M24"/>
    <mergeCell ref="N22:O22"/>
    <mergeCell ref="N23:O23"/>
    <mergeCell ref="N24:O24"/>
  </mergeCell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Select from the List" prompt="Select from the List" xr:uid="{C6B48132-8CB9-430F-A1EE-FA0BC99F519C}">
          <x14:formula1>
            <xm:f>'Network Types'!$C$3:$C$20</xm:f>
          </x14:formula1>
          <xm:sqref>C8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B2"/>
  <sheetViews>
    <sheetView workbookViewId="0">
      <selection activeCell="B3" sqref="B3"/>
    </sheetView>
  </sheetViews>
  <sheetFormatPr defaultRowHeight="14.4"/>
  <sheetData>
    <row r="2" spans="2:2">
      <c r="B2" s="24" t="s">
        <v>198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"/>
  <sheetViews>
    <sheetView zoomScale="80" zoomScaleNormal="80" workbookViewId="0">
      <selection activeCell="H33" sqref="H33"/>
    </sheetView>
  </sheetViews>
  <sheetFormatPr defaultRowHeight="14.4"/>
  <cols>
    <col min="1" max="1" width="46.109375" customWidth="1"/>
    <col min="2" max="2" width="28.5546875" customWidth="1"/>
    <col min="3" max="3" width="74.109375" customWidth="1"/>
    <col min="4" max="4" width="31.88671875" customWidth="1"/>
    <col min="5" max="5" width="15.44140625" customWidth="1"/>
    <col min="6" max="6" width="29.109375" customWidth="1"/>
  </cols>
  <sheetData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B2"/>
  <sheetViews>
    <sheetView workbookViewId="0">
      <selection activeCell="B3" sqref="B3"/>
    </sheetView>
  </sheetViews>
  <sheetFormatPr defaultRowHeight="14.4"/>
  <sheetData>
    <row r="2" spans="2:2">
      <c r="B2" s="24" t="s">
        <v>199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>
    <tabColor rgb="FF00B0F0"/>
    <pageSetUpPr fitToPage="1"/>
  </sheetPr>
  <dimension ref="A1:Z206"/>
  <sheetViews>
    <sheetView showGridLines="0" zoomScale="80" zoomScaleNormal="80" workbookViewId="0">
      <pane ySplit="12" topLeftCell="A41" activePane="bottomLeft" state="frozen"/>
      <selection pane="bottomLeft" activeCell="B46" sqref="B46"/>
    </sheetView>
  </sheetViews>
  <sheetFormatPr defaultColWidth="4.44140625" defaultRowHeight="13.8"/>
  <cols>
    <col min="1" max="1" width="4.88671875" style="20" customWidth="1"/>
    <col min="2" max="2" width="25.109375" style="20" customWidth="1"/>
    <col min="3" max="3" width="94.33203125" style="20" customWidth="1"/>
    <col min="4" max="4" width="17.33203125" style="20" customWidth="1"/>
    <col min="5" max="5" width="12.6640625" style="20" customWidth="1"/>
    <col min="6" max="6" width="18.77734375" style="21" customWidth="1"/>
    <col min="7" max="7" width="22.77734375" style="20" customWidth="1"/>
    <col min="8" max="8" width="16" style="20" customWidth="1"/>
    <col min="9" max="9" width="18.77734375" style="20" customWidth="1"/>
    <col min="10" max="10" width="22.77734375" style="20" customWidth="1"/>
    <col min="11" max="11" width="20.77734375" style="20" customWidth="1"/>
    <col min="12" max="12" width="16" style="20" customWidth="1"/>
    <col min="13" max="13" width="18.77734375" style="20" customWidth="1"/>
    <col min="14" max="14" width="22.77734375" style="20" customWidth="1"/>
    <col min="15" max="15" width="20.77734375" style="20" customWidth="1"/>
    <col min="16" max="16" width="16" style="20" customWidth="1"/>
    <col min="17" max="17" width="18.77734375" style="20" customWidth="1"/>
    <col min="18" max="18" width="22.77734375" style="20" customWidth="1"/>
    <col min="19" max="19" width="20.77734375" style="20" customWidth="1"/>
    <col min="20" max="20" width="16" style="20" customWidth="1"/>
    <col min="21" max="21" width="18.77734375" style="20" customWidth="1"/>
    <col min="22" max="22" width="22.77734375" style="20" customWidth="1"/>
    <col min="23" max="23" width="20.77734375" style="20" customWidth="1"/>
    <col min="24" max="24" width="18.77734375" style="20" customWidth="1"/>
    <col min="25" max="25" width="22.77734375" style="20" customWidth="1"/>
    <col min="26" max="26" width="20.77734375" style="20" customWidth="1"/>
    <col min="27" max="16384" width="4.44140625" style="20"/>
  </cols>
  <sheetData>
    <row r="1" spans="1:26" ht="16.2" thickBot="1">
      <c r="A1" s="25" t="s">
        <v>117</v>
      </c>
      <c r="B1" s="26" t="str">
        <f>'Master BOQ Pricing_2018-01-08'!B1</f>
        <v>To Be viewed in conjunction with BOS_000-MS-BO-010 Rev 5</v>
      </c>
      <c r="C1" s="27"/>
      <c r="D1" s="27"/>
      <c r="E1" s="27"/>
      <c r="F1" s="28"/>
      <c r="G1" s="27"/>
      <c r="H1" s="27"/>
    </row>
    <row r="2" spans="1:26" ht="21" thickBot="1">
      <c r="A2" s="27"/>
      <c r="B2" s="1133" t="str">
        <f>'Infra Build BOQ'!B2:I2</f>
        <v>77K0057591  /  77K0057591</v>
      </c>
      <c r="C2" s="1134"/>
      <c r="D2" s="1134"/>
      <c r="E2" s="1134"/>
      <c r="F2" s="1134"/>
      <c r="G2" s="1134"/>
      <c r="H2" s="1098"/>
      <c r="I2" s="1099"/>
      <c r="J2" s="1099"/>
      <c r="K2" s="1099"/>
      <c r="L2" s="1099"/>
      <c r="M2" s="1099"/>
      <c r="N2" s="1099"/>
      <c r="O2" s="1099"/>
      <c r="P2" s="1099"/>
      <c r="Q2" s="1099"/>
      <c r="R2" s="1099"/>
      <c r="S2" s="1099"/>
      <c r="T2" s="1099"/>
      <c r="U2" s="1099"/>
      <c r="V2" s="1099"/>
      <c r="W2" s="1099"/>
      <c r="X2" s="1099"/>
      <c r="Y2" s="1099"/>
      <c r="Z2" s="1100"/>
    </row>
    <row r="3" spans="1:26" ht="15.6">
      <c r="A3" s="27"/>
      <c r="B3" s="88" t="s">
        <v>1</v>
      </c>
      <c r="C3" s="178" t="str">
        <f>CONCATENATE('EXE Dashboard'!C4,"  /  ",'EXE Dashboard'!C5)</f>
        <v>77K0057591  /  77K0057591</v>
      </c>
      <c r="D3" s="1142" t="s">
        <v>362</v>
      </c>
      <c r="E3" s="1191"/>
      <c r="F3" s="1111">
        <f>'Infra Build BOQ'!F3:K3</f>
        <v>0</v>
      </c>
      <c r="G3" s="1112"/>
      <c r="H3" s="1193" t="s">
        <v>279</v>
      </c>
      <c r="I3" s="1102"/>
      <c r="J3" s="1102"/>
      <c r="K3" s="1102"/>
      <c r="L3" s="1102"/>
      <c r="M3" s="1102"/>
      <c r="N3" s="1102"/>
      <c r="O3" s="1102"/>
      <c r="P3" s="1102"/>
      <c r="Q3" s="1102"/>
      <c r="R3" s="1102"/>
      <c r="S3" s="1102"/>
      <c r="T3" s="1102"/>
      <c r="U3" s="1102"/>
      <c r="V3" s="1102"/>
      <c r="W3" s="1102"/>
      <c r="X3" s="1102"/>
      <c r="Y3" s="1102"/>
      <c r="Z3" s="1103"/>
    </row>
    <row r="4" spans="1:26" ht="16.5" customHeight="1">
      <c r="A4" s="27"/>
      <c r="B4" s="89" t="s">
        <v>0</v>
      </c>
      <c r="C4" s="449" t="str">
        <f>'Infra Build BOQ'!C4</f>
        <v xml:space="preserve">Eletronic Communications Network (Pty) Ltd </v>
      </c>
      <c r="D4" s="1144" t="s">
        <v>2</v>
      </c>
      <c r="E4" s="1192"/>
      <c r="F4" s="1114" t="str">
        <f>'Infra Build BOQ'!F4:K4</f>
        <v>Ethekwini</v>
      </c>
      <c r="G4" s="1115"/>
      <c r="H4" s="1194"/>
      <c r="I4" s="1104"/>
      <c r="J4" s="1104"/>
      <c r="K4" s="1104"/>
      <c r="L4" s="1104"/>
      <c r="M4" s="1104"/>
      <c r="N4" s="1104"/>
      <c r="O4" s="1104"/>
      <c r="P4" s="1104"/>
      <c r="Q4" s="1104"/>
      <c r="R4" s="1104"/>
      <c r="S4" s="1104"/>
      <c r="T4" s="1104"/>
      <c r="U4" s="1104"/>
      <c r="V4" s="1104"/>
      <c r="W4" s="1104"/>
      <c r="X4" s="1104"/>
      <c r="Y4" s="1104"/>
      <c r="Z4" s="1105"/>
    </row>
    <row r="5" spans="1:26" ht="16.5" customHeight="1">
      <c r="A5" s="27"/>
      <c r="B5" s="90" t="s">
        <v>437</v>
      </c>
      <c r="C5" s="449">
        <f>'EXE Dashboard'!C22</f>
        <v>0</v>
      </c>
      <c r="D5" s="1144" t="s">
        <v>3</v>
      </c>
      <c r="E5" s="1192"/>
      <c r="F5" s="1117" t="str">
        <f>'Infra Build BOQ'!F5:K5</f>
        <v>Date: 2023/08/25</v>
      </c>
      <c r="G5" s="1118"/>
      <c r="H5" s="1194"/>
      <c r="I5" s="1104"/>
      <c r="J5" s="1104"/>
      <c r="K5" s="1104"/>
      <c r="L5" s="1104"/>
      <c r="M5" s="1104"/>
      <c r="N5" s="1104"/>
      <c r="O5" s="1104"/>
      <c r="P5" s="1104"/>
      <c r="Q5" s="1104"/>
      <c r="R5" s="1104"/>
      <c r="S5" s="1104"/>
      <c r="T5" s="1104"/>
      <c r="U5" s="1104"/>
      <c r="V5" s="1104"/>
      <c r="W5" s="1104"/>
      <c r="X5" s="1104"/>
      <c r="Y5" s="1104"/>
      <c r="Z5" s="1105"/>
    </row>
    <row r="6" spans="1:26" ht="33" customHeight="1" thickBot="1">
      <c r="A6" s="27"/>
      <c r="B6" s="90" t="s">
        <v>230</v>
      </c>
      <c r="C6" s="450" t="s">
        <v>465</v>
      </c>
      <c r="D6" s="1144" t="s">
        <v>361</v>
      </c>
      <c r="E6" s="1192"/>
      <c r="F6" s="1148" t="str">
        <f>'Infra Build BOQ'!F6</f>
        <v>Phoenix Industrial Access PoP - ECN - Roots Dube Village</v>
      </c>
      <c r="G6" s="1196"/>
      <c r="H6" s="1194"/>
      <c r="I6" s="1104"/>
      <c r="J6" s="1104"/>
      <c r="K6" s="1104"/>
      <c r="L6" s="1104"/>
      <c r="M6" s="1104"/>
      <c r="N6" s="1104"/>
      <c r="O6" s="1104"/>
      <c r="P6" s="1104"/>
      <c r="Q6" s="1104"/>
      <c r="R6" s="1104"/>
      <c r="S6" s="1104"/>
      <c r="T6" s="1104"/>
      <c r="U6" s="1104"/>
      <c r="V6" s="1104"/>
      <c r="W6" s="1104"/>
      <c r="X6" s="1104"/>
      <c r="Y6" s="1104"/>
      <c r="Z6" s="1105"/>
    </row>
    <row r="7" spans="1:26" ht="17.25" customHeight="1" thickBot="1">
      <c r="A7" s="27"/>
      <c r="B7" s="128" t="s">
        <v>118</v>
      </c>
      <c r="C7" s="129"/>
      <c r="D7" s="130"/>
      <c r="E7" s="130"/>
      <c r="F7" s="131"/>
      <c r="G7" s="131"/>
      <c r="H7" s="1194"/>
      <c r="I7" s="1104"/>
      <c r="J7" s="1104"/>
      <c r="K7" s="1104"/>
      <c r="L7" s="1104"/>
      <c r="M7" s="1104"/>
      <c r="N7" s="1104"/>
      <c r="O7" s="1104"/>
      <c r="P7" s="1104"/>
      <c r="Q7" s="1104"/>
      <c r="R7" s="1104"/>
      <c r="S7" s="1104"/>
      <c r="T7" s="1104"/>
      <c r="U7" s="1104"/>
      <c r="V7" s="1104"/>
      <c r="W7" s="1104"/>
      <c r="X7" s="1104"/>
      <c r="Y7" s="1104"/>
      <c r="Z7" s="1105"/>
    </row>
    <row r="8" spans="1:26" ht="17.25" customHeight="1" thickBot="1">
      <c r="A8" s="27"/>
      <c r="B8" s="128"/>
      <c r="C8" s="129"/>
      <c r="D8" s="130"/>
      <c r="E8" s="130"/>
      <c r="F8" s="1087"/>
      <c r="G8" s="1087"/>
      <c r="H8" s="1194"/>
      <c r="I8" s="1104"/>
      <c r="J8" s="1104"/>
      <c r="K8" s="1104"/>
      <c r="L8" s="1104"/>
      <c r="M8" s="1104"/>
      <c r="N8" s="1104"/>
      <c r="O8" s="1104"/>
      <c r="P8" s="1104"/>
      <c r="Q8" s="1104"/>
      <c r="R8" s="1104"/>
      <c r="S8" s="1104"/>
      <c r="T8" s="1104"/>
      <c r="U8" s="1104"/>
      <c r="V8" s="1104"/>
      <c r="W8" s="1104"/>
      <c r="X8" s="1104"/>
      <c r="Y8" s="1104"/>
      <c r="Z8" s="1105"/>
    </row>
    <row r="9" spans="1:26" ht="17.25" customHeight="1" thickBot="1">
      <c r="A9" s="27"/>
      <c r="B9" s="128"/>
      <c r="C9" s="129"/>
      <c r="D9" s="130"/>
      <c r="E9" s="130"/>
      <c r="F9" s="1087"/>
      <c r="G9" s="1087"/>
      <c r="H9" s="1194"/>
      <c r="I9" s="1104"/>
      <c r="J9" s="1104"/>
      <c r="K9" s="1104"/>
      <c r="L9" s="1104"/>
      <c r="M9" s="1104"/>
      <c r="N9" s="1104"/>
      <c r="O9" s="1104"/>
      <c r="P9" s="1104"/>
      <c r="Q9" s="1104"/>
      <c r="R9" s="1104"/>
      <c r="S9" s="1104"/>
      <c r="T9" s="1104"/>
      <c r="U9" s="1104"/>
      <c r="V9" s="1104"/>
      <c r="W9" s="1104"/>
      <c r="X9" s="1104"/>
      <c r="Y9" s="1104"/>
      <c r="Z9" s="1105"/>
    </row>
    <row r="10" spans="1:26" ht="17.25" customHeight="1" thickBot="1">
      <c r="A10" s="27"/>
      <c r="B10" s="128"/>
      <c r="C10" s="133"/>
      <c r="D10" s="130"/>
      <c r="E10" s="130"/>
      <c r="F10" s="134"/>
      <c r="G10" s="125"/>
      <c r="H10" s="1195"/>
      <c r="I10" s="1107"/>
      <c r="J10" s="1107"/>
      <c r="K10" s="1107"/>
      <c r="L10" s="1107"/>
      <c r="M10" s="1107"/>
      <c r="N10" s="1107"/>
      <c r="O10" s="1107"/>
      <c r="P10" s="1107"/>
      <c r="Q10" s="1107"/>
      <c r="R10" s="1107"/>
      <c r="S10" s="1107"/>
      <c r="T10" s="1107"/>
      <c r="U10" s="1107"/>
      <c r="V10" s="1107"/>
      <c r="W10" s="1107"/>
      <c r="X10" s="1107"/>
      <c r="Y10" s="1107"/>
      <c r="Z10" s="1108"/>
    </row>
    <row r="11" spans="1:26" ht="18.600000000000001" thickBot="1">
      <c r="A11" s="27"/>
      <c r="B11" s="1189" t="s">
        <v>280</v>
      </c>
      <c r="C11" s="1190"/>
      <c r="D11" s="1190"/>
      <c r="E11" s="1190"/>
      <c r="F11" s="1190"/>
      <c r="G11" s="1190"/>
      <c r="H11" s="1078"/>
      <c r="I11" s="1079"/>
      <c r="J11" s="1079"/>
      <c r="K11" s="1079"/>
      <c r="L11" s="1079"/>
      <c r="M11" s="1079"/>
      <c r="N11" s="1079"/>
      <c r="O11" s="1079"/>
      <c r="P11" s="1079"/>
      <c r="Q11" s="1079"/>
      <c r="R11" s="1079"/>
      <c r="S11" s="1079"/>
      <c r="T11" s="1079"/>
      <c r="U11" s="1079"/>
      <c r="V11" s="1079"/>
      <c r="W11" s="1079"/>
      <c r="X11" s="1079"/>
      <c r="Y11" s="1079"/>
      <c r="Z11" s="1101"/>
    </row>
    <row r="12" spans="1:26" ht="29.4" thickBot="1">
      <c r="B12" s="251" t="s">
        <v>63</v>
      </c>
      <c r="C12" s="252" t="s">
        <v>4</v>
      </c>
      <c r="D12" s="251" t="s">
        <v>30</v>
      </c>
      <c r="E12" s="253" t="s">
        <v>64</v>
      </c>
      <c r="F12" s="109" t="s">
        <v>440</v>
      </c>
      <c r="G12" s="53" t="s">
        <v>65</v>
      </c>
      <c r="H12" s="60" t="s">
        <v>214</v>
      </c>
      <c r="I12" s="61" t="s">
        <v>211</v>
      </c>
      <c r="J12" s="62" t="s">
        <v>65</v>
      </c>
      <c r="K12" s="63" t="s">
        <v>212</v>
      </c>
      <c r="L12" s="57" t="s">
        <v>215</v>
      </c>
      <c r="M12" s="58" t="s">
        <v>211</v>
      </c>
      <c r="N12" s="59" t="s">
        <v>65</v>
      </c>
      <c r="O12" s="64" t="s">
        <v>212</v>
      </c>
      <c r="P12" s="65" t="s">
        <v>217</v>
      </c>
      <c r="Q12" s="66" t="s">
        <v>211</v>
      </c>
      <c r="R12" s="67" t="s">
        <v>65</v>
      </c>
      <c r="S12" s="68" t="s">
        <v>212</v>
      </c>
      <c r="T12" s="54" t="s">
        <v>216</v>
      </c>
      <c r="U12" s="55" t="s">
        <v>211</v>
      </c>
      <c r="V12" s="56" t="s">
        <v>65</v>
      </c>
      <c r="W12" s="69" t="s">
        <v>212</v>
      </c>
      <c r="X12" s="70" t="s">
        <v>218</v>
      </c>
      <c r="Y12" s="71" t="s">
        <v>65</v>
      </c>
      <c r="Z12" s="72" t="s">
        <v>212</v>
      </c>
    </row>
    <row r="13" spans="1:26" s="274" customFormat="1">
      <c r="B13" s="943">
        <f>'Master BOQ Pricing_2018-01-08'!B14</f>
        <v>1</v>
      </c>
      <c r="C13" s="944" t="str">
        <f>'Master BOQ Pricing_2018-01-08'!C14</f>
        <v>MATERIAL MANAGEMENT</v>
      </c>
      <c r="D13" s="945"/>
      <c r="E13" s="946"/>
      <c r="F13" s="947"/>
      <c r="G13" s="948"/>
      <c r="H13" s="949"/>
      <c r="I13" s="950"/>
      <c r="J13" s="951"/>
      <c r="K13" s="948"/>
      <c r="L13" s="949"/>
      <c r="M13" s="950"/>
      <c r="N13" s="951"/>
      <c r="O13" s="948"/>
      <c r="P13" s="949"/>
      <c r="Q13" s="950"/>
      <c r="R13" s="951"/>
      <c r="S13" s="948"/>
      <c r="T13" s="949"/>
      <c r="U13" s="950"/>
      <c r="V13" s="951"/>
      <c r="W13" s="948"/>
      <c r="X13" s="950"/>
      <c r="Y13" s="951"/>
      <c r="Z13" s="948"/>
    </row>
    <row r="14" spans="1:26" s="274" customFormat="1">
      <c r="B14" s="952">
        <f>'Master BOQ Pricing_2018-01-08'!B15</f>
        <v>1.1000000000000001</v>
      </c>
      <c r="C14" s="953" t="str">
        <f>'Master BOQ Pricing_2018-01-08'!C15</f>
        <v>Collect and delivery of material to Site (&gt;60km) Per Site</v>
      </c>
      <c r="D14" s="954" t="str">
        <f>'Master BOQ Pricing_2018-01-08'!D15</f>
        <v>Per Site</v>
      </c>
      <c r="E14" s="955">
        <f>'Master BOQ Pricing_2018-01-08'!E15</f>
        <v>850</v>
      </c>
      <c r="F14" s="956">
        <f>'Infra Build BOQ'!F15</f>
        <v>0</v>
      </c>
      <c r="G14" s="957">
        <f>'Infra Build BOQ'!G15</f>
        <v>0</v>
      </c>
      <c r="H14" s="958">
        <f>'Infra Build BOQ'!T15</f>
        <v>0</v>
      </c>
      <c r="I14" s="959">
        <f>'Infra Build BOQ'!U15</f>
        <v>0</v>
      </c>
      <c r="J14" s="960">
        <f>'Infra Build BOQ'!V15</f>
        <v>0</v>
      </c>
      <c r="K14" s="961">
        <f>'Infra Build BOQ'!W15</f>
        <v>0</v>
      </c>
      <c r="L14" s="958">
        <f>'Infra Build BOQ'!X15</f>
        <v>0</v>
      </c>
      <c r="M14" s="959">
        <f>'Infra Build BOQ'!Y15</f>
        <v>0</v>
      </c>
      <c r="N14" s="960">
        <f>'Infra Build BOQ'!Z15</f>
        <v>0</v>
      </c>
      <c r="O14" s="961">
        <f>'Infra Build BOQ'!AA15</f>
        <v>0</v>
      </c>
      <c r="P14" s="958">
        <f>'Infra Build BOQ'!AB15</f>
        <v>0</v>
      </c>
      <c r="Q14" s="959">
        <f>'Infra Build BOQ'!AC15</f>
        <v>0</v>
      </c>
      <c r="R14" s="960">
        <f>'Infra Build BOQ'!AD15</f>
        <v>0</v>
      </c>
      <c r="S14" s="961">
        <f>'Infra Build BOQ'!AE15</f>
        <v>0</v>
      </c>
      <c r="T14" s="958">
        <f>'Infra Build BOQ'!AF15</f>
        <v>0</v>
      </c>
      <c r="U14" s="959">
        <f>'Infra Build BOQ'!AG15</f>
        <v>0</v>
      </c>
      <c r="V14" s="960">
        <f>'Infra Build BOQ'!AH15</f>
        <v>0</v>
      </c>
      <c r="W14" s="961">
        <f>'Infra Build BOQ'!AI15</f>
        <v>0</v>
      </c>
      <c r="X14" s="959">
        <f>'Infra Build BOQ'!AJ15</f>
        <v>0</v>
      </c>
      <c r="Y14" s="960">
        <f>'Infra Build BOQ'!AK15</f>
        <v>0</v>
      </c>
      <c r="Z14" s="962">
        <f>'Infra Build BOQ'!AL15</f>
        <v>0</v>
      </c>
    </row>
    <row r="15" spans="1:26" s="296" customFormat="1">
      <c r="B15" s="963">
        <f>'Master BOQ Pricing_2018-01-08'!B16</f>
        <v>2</v>
      </c>
      <c r="C15" s="964" t="str">
        <f>'Master BOQ Pricing_2018-01-08'!C16</f>
        <v>TRENCHING</v>
      </c>
      <c r="D15" s="965"/>
      <c r="E15" s="966"/>
      <c r="F15" s="967"/>
      <c r="G15" s="968"/>
      <c r="H15" s="969"/>
      <c r="I15" s="970"/>
      <c r="J15" s="971"/>
      <c r="K15" s="968"/>
      <c r="L15" s="969"/>
      <c r="M15" s="970"/>
      <c r="N15" s="971"/>
      <c r="O15" s="968"/>
      <c r="P15" s="969"/>
      <c r="Q15" s="970"/>
      <c r="R15" s="971"/>
      <c r="S15" s="968"/>
      <c r="T15" s="969"/>
      <c r="U15" s="970"/>
      <c r="V15" s="971"/>
      <c r="W15" s="968"/>
      <c r="X15" s="970"/>
      <c r="Y15" s="971"/>
      <c r="Z15" s="972"/>
    </row>
    <row r="16" spans="1:26" s="296" customFormat="1">
      <c r="B16" s="952">
        <f>'Master BOQ Pricing_2018-01-08'!B17</f>
        <v>2.0099999999999998</v>
      </c>
      <c r="C16" s="953" t="str">
        <f>'Master BOQ Pricing_2018-01-08'!C17</f>
        <v>Excavation of trial pit (400mm width  x 1000mm length x 1200mm depth)</v>
      </c>
      <c r="D16" s="954" t="str">
        <f>'Master BOQ Pricing_2018-01-08'!D17</f>
        <v>m</v>
      </c>
      <c r="E16" s="955">
        <f>'Master BOQ Pricing_2018-01-08'!E17</f>
        <v>96</v>
      </c>
      <c r="F16" s="956">
        <f>'Infra Build BOQ'!F17</f>
        <v>0</v>
      </c>
      <c r="G16" s="957">
        <f>'Infra Build BOQ'!G17</f>
        <v>0</v>
      </c>
      <c r="H16" s="973">
        <f>'Infra Build BOQ'!T17</f>
        <v>0</v>
      </c>
      <c r="I16" s="974">
        <f>'Infra Build BOQ'!U17</f>
        <v>0</v>
      </c>
      <c r="J16" s="975">
        <f>'Infra Build BOQ'!V17</f>
        <v>0</v>
      </c>
      <c r="K16" s="976">
        <f>'Infra Build BOQ'!W17</f>
        <v>0</v>
      </c>
      <c r="L16" s="973">
        <f>'Infra Build BOQ'!X17</f>
        <v>0</v>
      </c>
      <c r="M16" s="974">
        <f>'Infra Build BOQ'!Y17</f>
        <v>0</v>
      </c>
      <c r="N16" s="975">
        <f>'Infra Build BOQ'!Z17</f>
        <v>0</v>
      </c>
      <c r="O16" s="976">
        <f>'Infra Build BOQ'!AA17</f>
        <v>0</v>
      </c>
      <c r="P16" s="973">
        <f>'Infra Build BOQ'!AB17</f>
        <v>0</v>
      </c>
      <c r="Q16" s="974">
        <f>'Infra Build BOQ'!AC17</f>
        <v>0</v>
      </c>
      <c r="R16" s="975">
        <f>'Infra Build BOQ'!AD17</f>
        <v>0</v>
      </c>
      <c r="S16" s="976">
        <f>'Infra Build BOQ'!AE17</f>
        <v>0</v>
      </c>
      <c r="T16" s="973">
        <f>'Infra Build BOQ'!AF17</f>
        <v>0</v>
      </c>
      <c r="U16" s="974">
        <f>'Infra Build BOQ'!AG17</f>
        <v>0</v>
      </c>
      <c r="V16" s="975">
        <f>'Infra Build BOQ'!AH17</f>
        <v>0</v>
      </c>
      <c r="W16" s="976">
        <f>'Infra Build BOQ'!AI17</f>
        <v>0</v>
      </c>
      <c r="X16" s="974">
        <f>'Infra Build BOQ'!AJ17</f>
        <v>0</v>
      </c>
      <c r="Y16" s="975">
        <f>'Infra Build BOQ'!AK17</f>
        <v>0</v>
      </c>
      <c r="Z16" s="977">
        <f>'Infra Build BOQ'!AL17</f>
        <v>0</v>
      </c>
    </row>
    <row r="17" spans="2:26" s="296" customFormat="1">
      <c r="B17" s="952">
        <f>'Master BOQ Pricing_2018-01-08'!B18</f>
        <v>2.02</v>
      </c>
      <c r="C17" s="953" t="str">
        <f>'Master BOQ Pricing_2018-01-08'!C18</f>
        <v>Excavation of drill pit (1500mm width  x 1500mm length x 1500mm depth)</v>
      </c>
      <c r="D17" s="954" t="str">
        <f>'Master BOQ Pricing_2018-01-08'!D18</f>
        <v>m</v>
      </c>
      <c r="E17" s="955">
        <f>'Master BOQ Pricing_2018-01-08'!E18</f>
        <v>185</v>
      </c>
      <c r="F17" s="956">
        <f>'Infra Build BOQ'!F18</f>
        <v>0</v>
      </c>
      <c r="G17" s="957">
        <f>'Infra Build BOQ'!G18</f>
        <v>0</v>
      </c>
      <c r="H17" s="973">
        <f>'Infra Build BOQ'!T18</f>
        <v>0</v>
      </c>
      <c r="I17" s="974">
        <f>'Infra Build BOQ'!U18</f>
        <v>0</v>
      </c>
      <c r="J17" s="975">
        <f>'Infra Build BOQ'!V18</f>
        <v>0</v>
      </c>
      <c r="K17" s="976">
        <f>'Infra Build BOQ'!W18</f>
        <v>0</v>
      </c>
      <c r="L17" s="973">
        <f>'Infra Build BOQ'!X18</f>
        <v>0</v>
      </c>
      <c r="M17" s="974">
        <f>'Infra Build BOQ'!Y18</f>
        <v>0</v>
      </c>
      <c r="N17" s="975">
        <f>'Infra Build BOQ'!Z18</f>
        <v>0</v>
      </c>
      <c r="O17" s="976">
        <f>'Infra Build BOQ'!AA18</f>
        <v>0</v>
      </c>
      <c r="P17" s="973">
        <f>'Infra Build BOQ'!AB18</f>
        <v>0</v>
      </c>
      <c r="Q17" s="974">
        <f>'Infra Build BOQ'!AC18</f>
        <v>0</v>
      </c>
      <c r="R17" s="975">
        <f>'Infra Build BOQ'!AD18</f>
        <v>0</v>
      </c>
      <c r="S17" s="976">
        <f>'Infra Build BOQ'!AE18</f>
        <v>0</v>
      </c>
      <c r="T17" s="973">
        <f>'Infra Build BOQ'!AF18</f>
        <v>0</v>
      </c>
      <c r="U17" s="974">
        <f>'Infra Build BOQ'!AG18</f>
        <v>0</v>
      </c>
      <c r="V17" s="975">
        <f>'Infra Build BOQ'!AH18</f>
        <v>0</v>
      </c>
      <c r="W17" s="976">
        <f>'Infra Build BOQ'!AI18</f>
        <v>0</v>
      </c>
      <c r="X17" s="974">
        <f>'Infra Build BOQ'!AJ18</f>
        <v>0</v>
      </c>
      <c r="Y17" s="975">
        <f>'Infra Build BOQ'!AK18</f>
        <v>0</v>
      </c>
      <c r="Z17" s="977">
        <f>'Infra Build BOQ'!AL18</f>
        <v>0</v>
      </c>
    </row>
    <row r="18" spans="2:26" s="296" customFormat="1">
      <c r="B18" s="952">
        <f>'Master BOQ Pricing_2018-01-08'!B19</f>
        <v>2.0299999999999998</v>
      </c>
      <c r="C18" s="953" t="str">
        <f>'Master BOQ Pricing_2018-01-08'!C19</f>
        <v>Excavation of trial pit to prove municipal duct  (400mm width x 1000mm Length x 700mm depth)</v>
      </c>
      <c r="D18" s="954" t="str">
        <f>'Master BOQ Pricing_2018-01-08'!D19</f>
        <v>m</v>
      </c>
      <c r="E18" s="955">
        <f>'Master BOQ Pricing_2018-01-08'!E19</f>
        <v>60.23</v>
      </c>
      <c r="F18" s="956">
        <f>'Infra Build BOQ'!F19</f>
        <v>0</v>
      </c>
      <c r="G18" s="957">
        <f>'Infra Build BOQ'!G19</f>
        <v>0</v>
      </c>
      <c r="H18" s="973">
        <f>'Infra Build BOQ'!T19</f>
        <v>0</v>
      </c>
      <c r="I18" s="974">
        <f>'Infra Build BOQ'!U19</f>
        <v>0</v>
      </c>
      <c r="J18" s="975">
        <f>'Infra Build BOQ'!V19</f>
        <v>0</v>
      </c>
      <c r="K18" s="976">
        <f>'Infra Build BOQ'!W19</f>
        <v>0</v>
      </c>
      <c r="L18" s="973">
        <f>'Infra Build BOQ'!X19</f>
        <v>0</v>
      </c>
      <c r="M18" s="974">
        <f>'Infra Build BOQ'!Y19</f>
        <v>0</v>
      </c>
      <c r="N18" s="975">
        <f>'Infra Build BOQ'!Z19</f>
        <v>0</v>
      </c>
      <c r="O18" s="976">
        <f>'Infra Build BOQ'!AA19</f>
        <v>0</v>
      </c>
      <c r="P18" s="973">
        <f>'Infra Build BOQ'!AB19</f>
        <v>0</v>
      </c>
      <c r="Q18" s="974">
        <f>'Infra Build BOQ'!AC19</f>
        <v>0</v>
      </c>
      <c r="R18" s="975">
        <f>'Infra Build BOQ'!AD19</f>
        <v>0</v>
      </c>
      <c r="S18" s="976">
        <f>'Infra Build BOQ'!AE19</f>
        <v>0</v>
      </c>
      <c r="T18" s="973">
        <f>'Infra Build BOQ'!AF19</f>
        <v>0</v>
      </c>
      <c r="U18" s="974">
        <f>'Infra Build BOQ'!AG19</f>
        <v>0</v>
      </c>
      <c r="V18" s="975">
        <f>'Infra Build BOQ'!AH19</f>
        <v>0</v>
      </c>
      <c r="W18" s="976">
        <f>'Infra Build BOQ'!AI19</f>
        <v>0</v>
      </c>
      <c r="X18" s="974">
        <f>'Infra Build BOQ'!AJ19</f>
        <v>0</v>
      </c>
      <c r="Y18" s="975">
        <f>'Infra Build BOQ'!AK19</f>
        <v>0</v>
      </c>
      <c r="Z18" s="977">
        <f>'Infra Build BOQ'!AL19</f>
        <v>0</v>
      </c>
    </row>
    <row r="19" spans="2:26" s="296" customFormat="1">
      <c r="B19" s="952">
        <f>'Master BOQ Pricing_2018-01-08'!B20</f>
        <v>2.04</v>
      </c>
      <c r="C19" s="953" t="str">
        <f>'Master BOQ Pricing_2018-01-08'!C20</f>
        <v>Excavation of trial pit to prove municipal duct  (400mm width x 1000mm Length x 1000mm depth)</v>
      </c>
      <c r="D19" s="954" t="str">
        <f>'Master BOQ Pricing_2018-01-08'!D20</f>
        <v>m</v>
      </c>
      <c r="E19" s="955">
        <f>'Master BOQ Pricing_2018-01-08'!E20</f>
        <v>86.04</v>
      </c>
      <c r="F19" s="956">
        <f>'Infra Build BOQ'!F20</f>
        <v>0</v>
      </c>
      <c r="G19" s="957">
        <f>'Infra Build BOQ'!G20</f>
        <v>0</v>
      </c>
      <c r="H19" s="973">
        <f>'Infra Build BOQ'!T20</f>
        <v>0</v>
      </c>
      <c r="I19" s="974">
        <f>'Infra Build BOQ'!U20</f>
        <v>0</v>
      </c>
      <c r="J19" s="975">
        <f>'Infra Build BOQ'!V20</f>
        <v>0</v>
      </c>
      <c r="K19" s="976">
        <f>'Infra Build BOQ'!W20</f>
        <v>0</v>
      </c>
      <c r="L19" s="973">
        <f>'Infra Build BOQ'!X20</f>
        <v>0</v>
      </c>
      <c r="M19" s="974">
        <f>'Infra Build BOQ'!Y20</f>
        <v>0</v>
      </c>
      <c r="N19" s="975">
        <f>'Infra Build BOQ'!Z20</f>
        <v>0</v>
      </c>
      <c r="O19" s="976">
        <f>'Infra Build BOQ'!AA20</f>
        <v>0</v>
      </c>
      <c r="P19" s="973">
        <f>'Infra Build BOQ'!AB20</f>
        <v>0</v>
      </c>
      <c r="Q19" s="974">
        <f>'Infra Build BOQ'!AC20</f>
        <v>0</v>
      </c>
      <c r="R19" s="975">
        <f>'Infra Build BOQ'!AD20</f>
        <v>0</v>
      </c>
      <c r="S19" s="976">
        <f>'Infra Build BOQ'!AE20</f>
        <v>0</v>
      </c>
      <c r="T19" s="973">
        <f>'Infra Build BOQ'!AF20</f>
        <v>0</v>
      </c>
      <c r="U19" s="974">
        <f>'Infra Build BOQ'!AG20</f>
        <v>0</v>
      </c>
      <c r="V19" s="975">
        <f>'Infra Build BOQ'!AH20</f>
        <v>0</v>
      </c>
      <c r="W19" s="976">
        <f>'Infra Build BOQ'!AI20</f>
        <v>0</v>
      </c>
      <c r="X19" s="974">
        <f>'Infra Build BOQ'!AJ20</f>
        <v>0</v>
      </c>
      <c r="Y19" s="975">
        <f>'Infra Build BOQ'!AK20</f>
        <v>0</v>
      </c>
      <c r="Z19" s="977">
        <f>'Infra Build BOQ'!AL20</f>
        <v>0</v>
      </c>
    </row>
    <row r="20" spans="2:26" s="296" customFormat="1">
      <c r="B20" s="952">
        <f>'Master BOQ Pricing_2018-01-08'!B21</f>
        <v>2.0499999999999998</v>
      </c>
      <c r="C20" s="953" t="str">
        <f>'Master BOQ Pricing_2018-01-08'!C21</f>
        <v xml:space="preserve">ISP - Excavation and backfilling of trench in normal soil Pickable (300 mm width x 1000 mm depth) </v>
      </c>
      <c r="D20" s="954" t="str">
        <f>'Master BOQ Pricing_2018-01-08'!D21</f>
        <v>m</v>
      </c>
      <c r="E20" s="955">
        <f>'Master BOQ Pricing_2018-01-08'!E21</f>
        <v>68.75</v>
      </c>
      <c r="F20" s="956">
        <f>'Infra Build BOQ'!F21</f>
        <v>0</v>
      </c>
      <c r="G20" s="957">
        <f>'Infra Build BOQ'!G21</f>
        <v>0</v>
      </c>
      <c r="H20" s="973">
        <f>'Infra Build BOQ'!T21</f>
        <v>0</v>
      </c>
      <c r="I20" s="974">
        <f>'Infra Build BOQ'!U21</f>
        <v>0</v>
      </c>
      <c r="J20" s="975">
        <f>'Infra Build BOQ'!V21</f>
        <v>0</v>
      </c>
      <c r="K20" s="976">
        <f>'Infra Build BOQ'!W21</f>
        <v>0</v>
      </c>
      <c r="L20" s="973">
        <f>'Infra Build BOQ'!X21</f>
        <v>0</v>
      </c>
      <c r="M20" s="974">
        <f>'Infra Build BOQ'!Y21</f>
        <v>0</v>
      </c>
      <c r="N20" s="975">
        <f>'Infra Build BOQ'!Z21</f>
        <v>0</v>
      </c>
      <c r="O20" s="976">
        <f>'Infra Build BOQ'!AA21</f>
        <v>0</v>
      </c>
      <c r="P20" s="973">
        <f>'Infra Build BOQ'!AB21</f>
        <v>0</v>
      </c>
      <c r="Q20" s="974">
        <f>'Infra Build BOQ'!AC21</f>
        <v>0</v>
      </c>
      <c r="R20" s="975">
        <f>'Infra Build BOQ'!AD21</f>
        <v>0</v>
      </c>
      <c r="S20" s="976">
        <f>'Infra Build BOQ'!AE21</f>
        <v>0</v>
      </c>
      <c r="T20" s="973">
        <f>'Infra Build BOQ'!AF21</f>
        <v>0</v>
      </c>
      <c r="U20" s="974">
        <f>'Infra Build BOQ'!AG21</f>
        <v>0</v>
      </c>
      <c r="V20" s="975">
        <f>'Infra Build BOQ'!AH21</f>
        <v>0</v>
      </c>
      <c r="W20" s="976">
        <f>'Infra Build BOQ'!AI21</f>
        <v>0</v>
      </c>
      <c r="X20" s="974">
        <f>'Infra Build BOQ'!AJ21</f>
        <v>0</v>
      </c>
      <c r="Y20" s="975">
        <f>'Infra Build BOQ'!AK21</f>
        <v>0</v>
      </c>
      <c r="Z20" s="977">
        <f>'Infra Build BOQ'!AL21</f>
        <v>0</v>
      </c>
    </row>
    <row r="21" spans="2:26" s="296" customFormat="1" ht="30" customHeight="1">
      <c r="B21" s="952">
        <f>'Master BOQ Pricing_2018-01-08'!B22</f>
        <v>2.06</v>
      </c>
      <c r="C21" s="953" t="str">
        <f>'Master BOQ Pricing_2018-01-08'!C22</f>
        <v>ISP - Excavation and backfilling of trench in normal soil Pickable (300 mm width x 400 mm depth) (For access layer / FTTH layer in MDU's)</v>
      </c>
      <c r="D21" s="954" t="str">
        <f>'Master BOQ Pricing_2018-01-08'!D22</f>
        <v>m</v>
      </c>
      <c r="E21" s="955">
        <f>'Master BOQ Pricing_2018-01-08'!E22</f>
        <v>34.65</v>
      </c>
      <c r="F21" s="956">
        <f>'Infra Build BOQ'!F22</f>
        <v>0</v>
      </c>
      <c r="G21" s="957">
        <f>'Infra Build BOQ'!G22</f>
        <v>0</v>
      </c>
      <c r="H21" s="973">
        <f>'Infra Build BOQ'!T22</f>
        <v>0</v>
      </c>
      <c r="I21" s="974">
        <f>'Infra Build BOQ'!U22</f>
        <v>0</v>
      </c>
      <c r="J21" s="975">
        <f>'Infra Build BOQ'!V22</f>
        <v>0</v>
      </c>
      <c r="K21" s="976">
        <f>'Infra Build BOQ'!W22</f>
        <v>0</v>
      </c>
      <c r="L21" s="973">
        <f>'Infra Build BOQ'!X22</f>
        <v>0</v>
      </c>
      <c r="M21" s="974">
        <f>'Infra Build BOQ'!Y22</f>
        <v>0</v>
      </c>
      <c r="N21" s="975">
        <f>'Infra Build BOQ'!Z22</f>
        <v>0</v>
      </c>
      <c r="O21" s="976">
        <f>'Infra Build BOQ'!AA22</f>
        <v>0</v>
      </c>
      <c r="P21" s="973">
        <f>'Infra Build BOQ'!AB22</f>
        <v>0</v>
      </c>
      <c r="Q21" s="974">
        <f>'Infra Build BOQ'!AC22</f>
        <v>0</v>
      </c>
      <c r="R21" s="975">
        <f>'Infra Build BOQ'!AD22</f>
        <v>0</v>
      </c>
      <c r="S21" s="976">
        <f>'Infra Build BOQ'!AE22</f>
        <v>0</v>
      </c>
      <c r="T21" s="973">
        <f>'Infra Build BOQ'!AF22</f>
        <v>0</v>
      </c>
      <c r="U21" s="974">
        <f>'Infra Build BOQ'!AG22</f>
        <v>0</v>
      </c>
      <c r="V21" s="975">
        <f>'Infra Build BOQ'!AH22</f>
        <v>0</v>
      </c>
      <c r="W21" s="976">
        <f>'Infra Build BOQ'!AI22</f>
        <v>0</v>
      </c>
      <c r="X21" s="974">
        <f>'Infra Build BOQ'!AJ22</f>
        <v>0</v>
      </c>
      <c r="Y21" s="975">
        <f>'Infra Build BOQ'!AK22</f>
        <v>0</v>
      </c>
      <c r="Z21" s="977">
        <f>'Infra Build BOQ'!AL22</f>
        <v>0</v>
      </c>
    </row>
    <row r="22" spans="2:26" s="525" customFormat="1" ht="30" customHeight="1">
      <c r="B22" s="952">
        <f>'Master BOQ Pricing_2018-01-08'!B23</f>
        <v>2.0699999999999998</v>
      </c>
      <c r="C22" s="953" t="str">
        <f>'Master BOQ Pricing_2018-01-08'!C23</f>
        <v>ISP - Excavation and backfilling of trench in normal soil - 300mm width x  400mm depth including trench covered by ≤ 100mm of asphalt  or concrete (Pickable 18Mpa)</v>
      </c>
      <c r="D22" s="954" t="str">
        <f>'Master BOQ Pricing_2018-01-08'!D23</f>
        <v>m</v>
      </c>
      <c r="E22" s="955">
        <f>'Master BOQ Pricing_2018-01-08'!E23</f>
        <v>81.2</v>
      </c>
      <c r="F22" s="956">
        <f>'Infra Build BOQ'!F23</f>
        <v>0</v>
      </c>
      <c r="G22" s="957">
        <f>'Infra Build BOQ'!G23</f>
        <v>0</v>
      </c>
      <c r="H22" s="973">
        <f>'Infra Build BOQ'!T23</f>
        <v>0</v>
      </c>
      <c r="I22" s="974">
        <f>'Infra Build BOQ'!U23</f>
        <v>0</v>
      </c>
      <c r="J22" s="975">
        <f>'Infra Build BOQ'!V23</f>
        <v>0</v>
      </c>
      <c r="K22" s="976">
        <f>'Infra Build BOQ'!W23</f>
        <v>0</v>
      </c>
      <c r="L22" s="973">
        <f>'Infra Build BOQ'!X23</f>
        <v>0</v>
      </c>
      <c r="M22" s="974">
        <f>'Infra Build BOQ'!Y23</f>
        <v>0</v>
      </c>
      <c r="N22" s="975">
        <f>'Infra Build BOQ'!Z23</f>
        <v>0</v>
      </c>
      <c r="O22" s="976">
        <f>'Infra Build BOQ'!AA23</f>
        <v>0</v>
      </c>
      <c r="P22" s="973">
        <f>'Infra Build BOQ'!AB23</f>
        <v>0</v>
      </c>
      <c r="Q22" s="974">
        <f>'Infra Build BOQ'!AC23</f>
        <v>0</v>
      </c>
      <c r="R22" s="975">
        <f>'Infra Build BOQ'!AD23</f>
        <v>0</v>
      </c>
      <c r="S22" s="976">
        <f>'Infra Build BOQ'!AE23</f>
        <v>0</v>
      </c>
      <c r="T22" s="973">
        <f>'Infra Build BOQ'!AF23</f>
        <v>0</v>
      </c>
      <c r="U22" s="974">
        <f>'Infra Build BOQ'!AG23</f>
        <v>0</v>
      </c>
      <c r="V22" s="975">
        <f>'Infra Build BOQ'!AH23</f>
        <v>0</v>
      </c>
      <c r="W22" s="976">
        <f>'Infra Build BOQ'!AI23</f>
        <v>0</v>
      </c>
      <c r="X22" s="974">
        <f>'Infra Build BOQ'!AJ23</f>
        <v>0</v>
      </c>
      <c r="Y22" s="975">
        <f>'Infra Build BOQ'!AK23</f>
        <v>0</v>
      </c>
      <c r="Z22" s="977">
        <f>'Infra Build BOQ'!AL23</f>
        <v>0</v>
      </c>
    </row>
    <row r="23" spans="2:26" s="525" customFormat="1" ht="30" customHeight="1">
      <c r="B23" s="952">
        <f>'Master BOQ Pricing_2018-01-08'!B24</f>
        <v>2.08</v>
      </c>
      <c r="C23" s="953" t="str">
        <f>'Master BOQ Pricing_2018-01-08'!C24</f>
        <v>ISP - Break (already cut asphalt or concrete), excavation and backfilling of trench in normal soil - 300mm width x  400mm depth including trench covered by ≤ 100mm of asphalt or concrete (Pickable 18Mpa)</v>
      </c>
      <c r="D23" s="954" t="str">
        <f>'Master BOQ Pricing_2018-01-08'!D24</f>
        <v>m</v>
      </c>
      <c r="E23" s="955">
        <f>'Master BOQ Pricing_2018-01-08'!E24</f>
        <v>31.78</v>
      </c>
      <c r="F23" s="956">
        <f>'Infra Build BOQ'!F24</f>
        <v>0</v>
      </c>
      <c r="G23" s="957">
        <f>'Infra Build BOQ'!G24</f>
        <v>0</v>
      </c>
      <c r="H23" s="973">
        <f>'Infra Build BOQ'!T24</f>
        <v>0</v>
      </c>
      <c r="I23" s="974">
        <f>'Infra Build BOQ'!U24</f>
        <v>0</v>
      </c>
      <c r="J23" s="975">
        <f>'Infra Build BOQ'!V24</f>
        <v>0</v>
      </c>
      <c r="K23" s="976">
        <f>'Infra Build BOQ'!W24</f>
        <v>0</v>
      </c>
      <c r="L23" s="973">
        <f>'Infra Build BOQ'!X24</f>
        <v>0</v>
      </c>
      <c r="M23" s="974">
        <f>'Infra Build BOQ'!Y24</f>
        <v>0</v>
      </c>
      <c r="N23" s="975">
        <f>'Infra Build BOQ'!Z24</f>
        <v>0</v>
      </c>
      <c r="O23" s="976">
        <f>'Infra Build BOQ'!AA24</f>
        <v>0</v>
      </c>
      <c r="P23" s="973">
        <f>'Infra Build BOQ'!AB24</f>
        <v>0</v>
      </c>
      <c r="Q23" s="974">
        <f>'Infra Build BOQ'!AC24</f>
        <v>0</v>
      </c>
      <c r="R23" s="975">
        <f>'Infra Build BOQ'!AD24</f>
        <v>0</v>
      </c>
      <c r="S23" s="976">
        <f>'Infra Build BOQ'!AE24</f>
        <v>0</v>
      </c>
      <c r="T23" s="973">
        <f>'Infra Build BOQ'!AF24</f>
        <v>0</v>
      </c>
      <c r="U23" s="974">
        <f>'Infra Build BOQ'!AG24</f>
        <v>0</v>
      </c>
      <c r="V23" s="975">
        <f>'Infra Build BOQ'!AH24</f>
        <v>0</v>
      </c>
      <c r="W23" s="976">
        <f>'Infra Build BOQ'!AI24</f>
        <v>0</v>
      </c>
      <c r="X23" s="974">
        <f>'Infra Build BOQ'!AJ24</f>
        <v>0</v>
      </c>
      <c r="Y23" s="975">
        <f>'Infra Build BOQ'!AK24</f>
        <v>0</v>
      </c>
      <c r="Z23" s="977">
        <f>'Infra Build BOQ'!AL24</f>
        <v>0</v>
      </c>
    </row>
    <row r="24" spans="2:26" s="525" customFormat="1" ht="30" customHeight="1">
      <c r="B24" s="952">
        <f>'Master BOQ Pricing_2018-01-08'!B25</f>
        <v>2.09</v>
      </c>
      <c r="C24" s="953" t="str">
        <f>'Master BOQ Pricing_2018-01-08'!C25</f>
        <v>ISP - Break (already cut asphalt or concrete), excavation and backfilling of trench in normal soil 400mm width x 700mm depth including trench covered by &gt;100mm of asphalt or concrete (Pickable 18Mpa)</v>
      </c>
      <c r="D24" s="954" t="str">
        <f>'Master BOQ Pricing_2018-01-08'!D25</f>
        <v>m</v>
      </c>
      <c r="E24" s="955">
        <f>'Master BOQ Pricing_2018-01-08'!E25</f>
        <v>84.75</v>
      </c>
      <c r="F24" s="956">
        <f>'Infra Build BOQ'!F25</f>
        <v>0</v>
      </c>
      <c r="G24" s="957">
        <f>'Infra Build BOQ'!G25</f>
        <v>0</v>
      </c>
      <c r="H24" s="973">
        <f>'Infra Build BOQ'!T25</f>
        <v>0</v>
      </c>
      <c r="I24" s="974">
        <f>'Infra Build BOQ'!U25</f>
        <v>0</v>
      </c>
      <c r="J24" s="975">
        <f>'Infra Build BOQ'!V25</f>
        <v>0</v>
      </c>
      <c r="K24" s="976">
        <f>'Infra Build BOQ'!W25</f>
        <v>0</v>
      </c>
      <c r="L24" s="973">
        <f>'Infra Build BOQ'!X25</f>
        <v>0</v>
      </c>
      <c r="M24" s="974">
        <f>'Infra Build BOQ'!Y25</f>
        <v>0</v>
      </c>
      <c r="N24" s="975">
        <f>'Infra Build BOQ'!Z25</f>
        <v>0</v>
      </c>
      <c r="O24" s="976">
        <f>'Infra Build BOQ'!AA25</f>
        <v>0</v>
      </c>
      <c r="P24" s="973">
        <f>'Infra Build BOQ'!AB25</f>
        <v>0</v>
      </c>
      <c r="Q24" s="974">
        <f>'Infra Build BOQ'!AC25</f>
        <v>0</v>
      </c>
      <c r="R24" s="975">
        <f>'Infra Build BOQ'!AD25</f>
        <v>0</v>
      </c>
      <c r="S24" s="976">
        <f>'Infra Build BOQ'!AE25</f>
        <v>0</v>
      </c>
      <c r="T24" s="973">
        <f>'Infra Build BOQ'!AF25</f>
        <v>0</v>
      </c>
      <c r="U24" s="974">
        <f>'Infra Build BOQ'!AG25</f>
        <v>0</v>
      </c>
      <c r="V24" s="975">
        <f>'Infra Build BOQ'!AH25</f>
        <v>0</v>
      </c>
      <c r="W24" s="976">
        <f>'Infra Build BOQ'!AI25</f>
        <v>0</v>
      </c>
      <c r="X24" s="974">
        <f>'Infra Build BOQ'!AJ25</f>
        <v>0</v>
      </c>
      <c r="Y24" s="975">
        <f>'Infra Build BOQ'!AK25</f>
        <v>0</v>
      </c>
      <c r="Z24" s="977">
        <f>'Infra Build BOQ'!AL25</f>
        <v>0</v>
      </c>
    </row>
    <row r="25" spans="2:26" s="525" customFormat="1" ht="30" customHeight="1">
      <c r="B25" s="952">
        <f>'Master BOQ Pricing_2018-01-08'!B26</f>
        <v>2.1</v>
      </c>
      <c r="C25" s="953" t="str">
        <f>'Master BOQ Pricing_2018-01-08'!C26</f>
        <v xml:space="preserve">ISP - Excavation and backfilling of trench in normal soil - 300mm width x 700mm depth including trench covered by ≤  100mm of asphalt  or concrete (Pickable 18Mpa) </v>
      </c>
      <c r="D25" s="954" t="str">
        <f>'Master BOQ Pricing_2018-01-08'!D26</f>
        <v>m</v>
      </c>
      <c r="E25" s="955">
        <f>'Master BOQ Pricing_2018-01-08'!E26</f>
        <v>121.36</v>
      </c>
      <c r="F25" s="956">
        <f>'Infra Build BOQ'!F26</f>
        <v>0</v>
      </c>
      <c r="G25" s="957">
        <f>'Infra Build BOQ'!G26</f>
        <v>0</v>
      </c>
      <c r="H25" s="973">
        <f>'Infra Build BOQ'!T26</f>
        <v>0</v>
      </c>
      <c r="I25" s="974">
        <f>'Infra Build BOQ'!U26</f>
        <v>0</v>
      </c>
      <c r="J25" s="975">
        <f>'Infra Build BOQ'!V26</f>
        <v>0</v>
      </c>
      <c r="K25" s="976">
        <f>'Infra Build BOQ'!W26</f>
        <v>0</v>
      </c>
      <c r="L25" s="973">
        <f>'Infra Build BOQ'!X26</f>
        <v>0</v>
      </c>
      <c r="M25" s="974">
        <f>'Infra Build BOQ'!Y26</f>
        <v>0</v>
      </c>
      <c r="N25" s="975">
        <f>'Infra Build BOQ'!Z26</f>
        <v>0</v>
      </c>
      <c r="O25" s="976">
        <f>'Infra Build BOQ'!AA26</f>
        <v>0</v>
      </c>
      <c r="P25" s="973">
        <f>'Infra Build BOQ'!AB26</f>
        <v>0</v>
      </c>
      <c r="Q25" s="974">
        <f>'Infra Build BOQ'!AC26</f>
        <v>0</v>
      </c>
      <c r="R25" s="975">
        <f>'Infra Build BOQ'!AD26</f>
        <v>0</v>
      </c>
      <c r="S25" s="976">
        <f>'Infra Build BOQ'!AE26</f>
        <v>0</v>
      </c>
      <c r="T25" s="973">
        <f>'Infra Build BOQ'!AF26</f>
        <v>0</v>
      </c>
      <c r="U25" s="974">
        <f>'Infra Build BOQ'!AG26</f>
        <v>0</v>
      </c>
      <c r="V25" s="975">
        <f>'Infra Build BOQ'!AH26</f>
        <v>0</v>
      </c>
      <c r="W25" s="976">
        <f>'Infra Build BOQ'!AI26</f>
        <v>0</v>
      </c>
      <c r="X25" s="974">
        <f>'Infra Build BOQ'!AJ26</f>
        <v>0</v>
      </c>
      <c r="Y25" s="975">
        <f>'Infra Build BOQ'!AK26</f>
        <v>0</v>
      </c>
      <c r="Z25" s="977">
        <f>'Infra Build BOQ'!AL26</f>
        <v>0</v>
      </c>
    </row>
    <row r="26" spans="2:26" s="525" customFormat="1" ht="30" customHeight="1">
      <c r="B26" s="952">
        <f>'Master BOQ Pricing_2018-01-08'!B27</f>
        <v>2.11</v>
      </c>
      <c r="C26" s="953" t="str">
        <f>'Master BOQ Pricing_2018-01-08'!C27</f>
        <v>ISP - Excavation and backfilling of trench in normal soil - 450mm width x  1000mm depth including trench covered by ≤ 100mm of asphalt  or concrete (Pickable 18Mpa)</v>
      </c>
      <c r="D26" s="954" t="str">
        <f>'Master BOQ Pricing_2018-01-08'!D27</f>
        <v>m</v>
      </c>
      <c r="E26" s="955">
        <f>'Master BOQ Pricing_2018-01-08'!E27</f>
        <v>260.06</v>
      </c>
      <c r="F26" s="956">
        <f>'Infra Build BOQ'!F27</f>
        <v>0</v>
      </c>
      <c r="G26" s="957">
        <f>'Infra Build BOQ'!G27</f>
        <v>0</v>
      </c>
      <c r="H26" s="973">
        <f>'Infra Build BOQ'!T27</f>
        <v>0</v>
      </c>
      <c r="I26" s="974">
        <f>'Infra Build BOQ'!U27</f>
        <v>0</v>
      </c>
      <c r="J26" s="975">
        <f>'Infra Build BOQ'!V27</f>
        <v>0</v>
      </c>
      <c r="K26" s="976">
        <f>'Infra Build BOQ'!W27</f>
        <v>0</v>
      </c>
      <c r="L26" s="973">
        <f>'Infra Build BOQ'!X27</f>
        <v>0</v>
      </c>
      <c r="M26" s="974">
        <f>'Infra Build BOQ'!Y27</f>
        <v>0</v>
      </c>
      <c r="N26" s="975">
        <f>'Infra Build BOQ'!Z27</f>
        <v>0</v>
      </c>
      <c r="O26" s="976">
        <f>'Infra Build BOQ'!AA27</f>
        <v>0</v>
      </c>
      <c r="P26" s="973">
        <f>'Infra Build BOQ'!AB27</f>
        <v>0</v>
      </c>
      <c r="Q26" s="974">
        <f>'Infra Build BOQ'!AC27</f>
        <v>0</v>
      </c>
      <c r="R26" s="975">
        <f>'Infra Build BOQ'!AD27</f>
        <v>0</v>
      </c>
      <c r="S26" s="976">
        <f>'Infra Build BOQ'!AE27</f>
        <v>0</v>
      </c>
      <c r="T26" s="973">
        <f>'Infra Build BOQ'!AF27</f>
        <v>0</v>
      </c>
      <c r="U26" s="974">
        <f>'Infra Build BOQ'!AG27</f>
        <v>0</v>
      </c>
      <c r="V26" s="975">
        <f>'Infra Build BOQ'!AH27</f>
        <v>0</v>
      </c>
      <c r="W26" s="976">
        <f>'Infra Build BOQ'!AI27</f>
        <v>0</v>
      </c>
      <c r="X26" s="974">
        <f>'Infra Build BOQ'!AJ27</f>
        <v>0</v>
      </c>
      <c r="Y26" s="975">
        <f>'Infra Build BOQ'!AK27</f>
        <v>0</v>
      </c>
      <c r="Z26" s="977">
        <f>'Infra Build BOQ'!AL27</f>
        <v>0</v>
      </c>
    </row>
    <row r="27" spans="2:26" s="525" customFormat="1" ht="30" customHeight="1">
      <c r="B27" s="952">
        <f>'Master BOQ Pricing_2018-01-08'!B28</f>
        <v>2.12</v>
      </c>
      <c r="C27" s="953" t="str">
        <f>'Master BOQ Pricing_2018-01-08'!C28</f>
        <v xml:space="preserve">ISP - Excavation and backfilling of trench in normal soil including cutting/asphalt / concrete &gt;100mm thick  (300mm width x 400mm depth) </v>
      </c>
      <c r="D27" s="954" t="str">
        <f>'Master BOQ Pricing_2018-01-08'!D28</f>
        <v>m</v>
      </c>
      <c r="E27" s="955">
        <f>'Master BOQ Pricing_2018-01-08'!E28</f>
        <v>256.8</v>
      </c>
      <c r="F27" s="956">
        <f>'Infra Build BOQ'!F28</f>
        <v>0</v>
      </c>
      <c r="G27" s="957">
        <f>'Infra Build BOQ'!G28</f>
        <v>0</v>
      </c>
      <c r="H27" s="973">
        <f>'Infra Build BOQ'!T28</f>
        <v>0</v>
      </c>
      <c r="I27" s="974">
        <f>'Infra Build BOQ'!U28</f>
        <v>0</v>
      </c>
      <c r="J27" s="975">
        <f>'Infra Build BOQ'!V28</f>
        <v>0</v>
      </c>
      <c r="K27" s="976">
        <f>'Infra Build BOQ'!W28</f>
        <v>0</v>
      </c>
      <c r="L27" s="973">
        <f>'Infra Build BOQ'!X28</f>
        <v>0</v>
      </c>
      <c r="M27" s="974">
        <f>'Infra Build BOQ'!Y28</f>
        <v>0</v>
      </c>
      <c r="N27" s="975">
        <f>'Infra Build BOQ'!Z28</f>
        <v>0</v>
      </c>
      <c r="O27" s="976">
        <f>'Infra Build BOQ'!AA28</f>
        <v>0</v>
      </c>
      <c r="P27" s="973">
        <f>'Infra Build BOQ'!AB28</f>
        <v>0</v>
      </c>
      <c r="Q27" s="974">
        <f>'Infra Build BOQ'!AC28</f>
        <v>0</v>
      </c>
      <c r="R27" s="975">
        <f>'Infra Build BOQ'!AD28</f>
        <v>0</v>
      </c>
      <c r="S27" s="976">
        <f>'Infra Build BOQ'!AE28</f>
        <v>0</v>
      </c>
      <c r="T27" s="973">
        <f>'Infra Build BOQ'!AF28</f>
        <v>0</v>
      </c>
      <c r="U27" s="974">
        <f>'Infra Build BOQ'!AG28</f>
        <v>0</v>
      </c>
      <c r="V27" s="975">
        <f>'Infra Build BOQ'!AH28</f>
        <v>0</v>
      </c>
      <c r="W27" s="976">
        <f>'Infra Build BOQ'!AI28</f>
        <v>0</v>
      </c>
      <c r="X27" s="974">
        <f>'Infra Build BOQ'!AJ28</f>
        <v>0</v>
      </c>
      <c r="Y27" s="975">
        <f>'Infra Build BOQ'!AK28</f>
        <v>0</v>
      </c>
      <c r="Z27" s="977">
        <f>'Infra Build BOQ'!AL28</f>
        <v>0</v>
      </c>
    </row>
    <row r="28" spans="2:26" s="525" customFormat="1" ht="30" customHeight="1">
      <c r="B28" s="952">
        <f>'Master BOQ Pricing_2018-01-08'!B29</f>
        <v>2.13</v>
      </c>
      <c r="C28" s="953" t="str">
        <f>'Master BOQ Pricing_2018-01-08'!C29</f>
        <v xml:space="preserve">ISP - Excavation and backfilling of trench in normal soil including cutting/asphalt / concrete &gt;100mm thick  (450mm width x 1000mm depth) </v>
      </c>
      <c r="D28" s="954" t="str">
        <f>'Master BOQ Pricing_2018-01-08'!D29</f>
        <v>m</v>
      </c>
      <c r="E28" s="955">
        <f>'Master BOQ Pricing_2018-01-08'!E29</f>
        <v>963</v>
      </c>
      <c r="F28" s="956">
        <f>'Infra Build BOQ'!F29</f>
        <v>0</v>
      </c>
      <c r="G28" s="957">
        <f>'Infra Build BOQ'!G29</f>
        <v>0</v>
      </c>
      <c r="H28" s="973">
        <f>'Infra Build BOQ'!T29</f>
        <v>0</v>
      </c>
      <c r="I28" s="974">
        <f>'Infra Build BOQ'!U29</f>
        <v>0</v>
      </c>
      <c r="J28" s="975">
        <f>'Infra Build BOQ'!V29</f>
        <v>0</v>
      </c>
      <c r="K28" s="976">
        <f>'Infra Build BOQ'!W29</f>
        <v>0</v>
      </c>
      <c r="L28" s="973">
        <f>'Infra Build BOQ'!X29</f>
        <v>0</v>
      </c>
      <c r="M28" s="974">
        <f>'Infra Build BOQ'!Y29</f>
        <v>0</v>
      </c>
      <c r="N28" s="975">
        <f>'Infra Build BOQ'!Z29</f>
        <v>0</v>
      </c>
      <c r="O28" s="976">
        <f>'Infra Build BOQ'!AA29</f>
        <v>0</v>
      </c>
      <c r="P28" s="973">
        <f>'Infra Build BOQ'!AB29</f>
        <v>0</v>
      </c>
      <c r="Q28" s="974">
        <f>'Infra Build BOQ'!AC29</f>
        <v>0</v>
      </c>
      <c r="R28" s="975">
        <f>'Infra Build BOQ'!AD29</f>
        <v>0</v>
      </c>
      <c r="S28" s="976">
        <f>'Infra Build BOQ'!AE29</f>
        <v>0</v>
      </c>
      <c r="T28" s="973">
        <f>'Infra Build BOQ'!AF29</f>
        <v>0</v>
      </c>
      <c r="U28" s="974">
        <f>'Infra Build BOQ'!AG29</f>
        <v>0</v>
      </c>
      <c r="V28" s="975">
        <f>'Infra Build BOQ'!AH29</f>
        <v>0</v>
      </c>
      <c r="W28" s="976">
        <f>'Infra Build BOQ'!AI29</f>
        <v>0</v>
      </c>
      <c r="X28" s="974">
        <f>'Infra Build BOQ'!AJ29</f>
        <v>0</v>
      </c>
      <c r="Y28" s="975">
        <f>'Infra Build BOQ'!AK29</f>
        <v>0</v>
      </c>
      <c r="Z28" s="977">
        <f>'Infra Build BOQ'!AL29</f>
        <v>0</v>
      </c>
    </row>
    <row r="29" spans="2:26" s="525" customFormat="1" ht="30" customHeight="1">
      <c r="B29" s="952">
        <f>'Master BOQ Pricing_2018-01-08'!B30</f>
        <v>2.14</v>
      </c>
      <c r="C29" s="953" t="str">
        <f>'Master BOQ Pricing_2018-01-08'!C30</f>
        <v xml:space="preserve">ISP - Break (already cut asphalt  or concrete), excavation and backfilling of trench in normal soil including cutting/asphalt / concrete &gt;100mm thick  (300mm width x 400mm depth) </v>
      </c>
      <c r="D29" s="954" t="str">
        <f>'Master BOQ Pricing_2018-01-08'!D30</f>
        <v>m</v>
      </c>
      <c r="E29" s="955">
        <f>'Master BOQ Pricing_2018-01-08'!E30</f>
        <v>31.78</v>
      </c>
      <c r="F29" s="956">
        <f>'Infra Build BOQ'!F30</f>
        <v>0</v>
      </c>
      <c r="G29" s="957">
        <f>'Infra Build BOQ'!G30</f>
        <v>0</v>
      </c>
      <c r="H29" s="973">
        <f>'Infra Build BOQ'!T30</f>
        <v>0</v>
      </c>
      <c r="I29" s="974">
        <f>'Infra Build BOQ'!U30</f>
        <v>0</v>
      </c>
      <c r="J29" s="975">
        <f>'Infra Build BOQ'!V30</f>
        <v>0</v>
      </c>
      <c r="K29" s="976">
        <f>'Infra Build BOQ'!W30</f>
        <v>0</v>
      </c>
      <c r="L29" s="973">
        <f>'Infra Build BOQ'!X30</f>
        <v>0</v>
      </c>
      <c r="M29" s="974">
        <f>'Infra Build BOQ'!Y30</f>
        <v>0</v>
      </c>
      <c r="N29" s="975">
        <f>'Infra Build BOQ'!Z30</f>
        <v>0</v>
      </c>
      <c r="O29" s="976">
        <f>'Infra Build BOQ'!AA30</f>
        <v>0</v>
      </c>
      <c r="P29" s="973">
        <f>'Infra Build BOQ'!AB30</f>
        <v>0</v>
      </c>
      <c r="Q29" s="974">
        <f>'Infra Build BOQ'!AC30</f>
        <v>0</v>
      </c>
      <c r="R29" s="975">
        <f>'Infra Build BOQ'!AD30</f>
        <v>0</v>
      </c>
      <c r="S29" s="976">
        <f>'Infra Build BOQ'!AE30</f>
        <v>0</v>
      </c>
      <c r="T29" s="973">
        <f>'Infra Build BOQ'!AF30</f>
        <v>0</v>
      </c>
      <c r="U29" s="974">
        <f>'Infra Build BOQ'!AG30</f>
        <v>0</v>
      </c>
      <c r="V29" s="975">
        <f>'Infra Build BOQ'!AH30</f>
        <v>0</v>
      </c>
      <c r="W29" s="976">
        <f>'Infra Build BOQ'!AI30</f>
        <v>0</v>
      </c>
      <c r="X29" s="974">
        <f>'Infra Build BOQ'!AJ30</f>
        <v>0</v>
      </c>
      <c r="Y29" s="975">
        <f>'Infra Build BOQ'!AK30</f>
        <v>0</v>
      </c>
      <c r="Z29" s="977">
        <f>'Infra Build BOQ'!AL30</f>
        <v>0</v>
      </c>
    </row>
    <row r="30" spans="2:26" s="296" customFormat="1" ht="30" customHeight="1">
      <c r="B30" s="952">
        <f>'Master BOQ Pricing_2018-01-08'!B31</f>
        <v>2.15</v>
      </c>
      <c r="C30" s="953" t="str">
        <f>'Master BOQ Pricing_2018-01-08'!C31</f>
        <v xml:space="preserve">ISP - Excavation and backfilling of trench including cutting/breaking of vegetation/ Landscaping  450mm width  x 1000mm depth </v>
      </c>
      <c r="D30" s="954" t="str">
        <f>'Master BOQ Pricing_2018-01-08'!D31</f>
        <v>m</v>
      </c>
      <c r="E30" s="955">
        <f>'Master BOQ Pricing_2018-01-08'!E31</f>
        <v>143.57</v>
      </c>
      <c r="F30" s="956">
        <f>'Infra Build BOQ'!F31</f>
        <v>0</v>
      </c>
      <c r="G30" s="957">
        <f>'Infra Build BOQ'!G31</f>
        <v>0</v>
      </c>
      <c r="H30" s="973">
        <f>'Infra Build BOQ'!T31</f>
        <v>0</v>
      </c>
      <c r="I30" s="974">
        <f>'Infra Build BOQ'!U31</f>
        <v>0</v>
      </c>
      <c r="J30" s="975">
        <f>'Infra Build BOQ'!V31</f>
        <v>0</v>
      </c>
      <c r="K30" s="976">
        <f>'Infra Build BOQ'!W31</f>
        <v>0</v>
      </c>
      <c r="L30" s="973">
        <f>'Infra Build BOQ'!X31</f>
        <v>0</v>
      </c>
      <c r="M30" s="974">
        <f>'Infra Build BOQ'!Y31</f>
        <v>0</v>
      </c>
      <c r="N30" s="975">
        <f>'Infra Build BOQ'!Z31</f>
        <v>0</v>
      </c>
      <c r="O30" s="976">
        <f>'Infra Build BOQ'!AA31</f>
        <v>0</v>
      </c>
      <c r="P30" s="973">
        <f>'Infra Build BOQ'!AB31</f>
        <v>0</v>
      </c>
      <c r="Q30" s="974">
        <f>'Infra Build BOQ'!AC31</f>
        <v>0</v>
      </c>
      <c r="R30" s="975">
        <f>'Infra Build BOQ'!AD31</f>
        <v>0</v>
      </c>
      <c r="S30" s="976">
        <f>'Infra Build BOQ'!AE31</f>
        <v>0</v>
      </c>
      <c r="T30" s="973">
        <f>'Infra Build BOQ'!AF31</f>
        <v>0</v>
      </c>
      <c r="U30" s="974">
        <f>'Infra Build BOQ'!AG31</f>
        <v>0</v>
      </c>
      <c r="V30" s="975">
        <f>'Infra Build BOQ'!AH31</f>
        <v>0</v>
      </c>
      <c r="W30" s="976">
        <f>'Infra Build BOQ'!AI31</f>
        <v>0</v>
      </c>
      <c r="X30" s="974">
        <f>'Infra Build BOQ'!AJ31</f>
        <v>0</v>
      </c>
      <c r="Y30" s="975">
        <f>'Infra Build BOQ'!AK31</f>
        <v>0</v>
      </c>
      <c r="Z30" s="977">
        <f>'Infra Build BOQ'!AL31</f>
        <v>0</v>
      </c>
    </row>
    <row r="31" spans="2:26" s="296" customFormat="1" ht="30" customHeight="1">
      <c r="B31" s="952">
        <f>'Master BOQ Pricing_2018-01-08'!B32</f>
        <v>2.16</v>
      </c>
      <c r="C31" s="953" t="str">
        <f>'Master BOQ Pricing_2018-01-08'!C32</f>
        <v>ISP - Excavation and backfilling of trench including cutting/breaking of vegetation/ Landscaping  300mm width  x 400mm depth (For access layer / FTTH layer in MDU's)</v>
      </c>
      <c r="D31" s="954" t="str">
        <f>'Master BOQ Pricing_2018-01-08'!D32</f>
        <v>m</v>
      </c>
      <c r="E31" s="955">
        <f>'Master BOQ Pricing_2018-01-08'!E32</f>
        <v>34.200000000000003</v>
      </c>
      <c r="F31" s="956">
        <f>'Infra Build BOQ'!F32</f>
        <v>0</v>
      </c>
      <c r="G31" s="957">
        <f>'Infra Build BOQ'!G32</f>
        <v>0</v>
      </c>
      <c r="H31" s="973">
        <f>'Infra Build BOQ'!T32</f>
        <v>0</v>
      </c>
      <c r="I31" s="974">
        <f>'Infra Build BOQ'!U32</f>
        <v>0</v>
      </c>
      <c r="J31" s="975">
        <f>'Infra Build BOQ'!V32</f>
        <v>0</v>
      </c>
      <c r="K31" s="976">
        <f>'Infra Build BOQ'!W32</f>
        <v>0</v>
      </c>
      <c r="L31" s="973">
        <f>'Infra Build BOQ'!X32</f>
        <v>0</v>
      </c>
      <c r="M31" s="974">
        <f>'Infra Build BOQ'!Y32</f>
        <v>0</v>
      </c>
      <c r="N31" s="975">
        <f>'Infra Build BOQ'!Z32</f>
        <v>0</v>
      </c>
      <c r="O31" s="976">
        <f>'Infra Build BOQ'!AA32</f>
        <v>0</v>
      </c>
      <c r="P31" s="973">
        <f>'Infra Build BOQ'!AB32</f>
        <v>0</v>
      </c>
      <c r="Q31" s="974">
        <f>'Infra Build BOQ'!AC32</f>
        <v>0</v>
      </c>
      <c r="R31" s="975">
        <f>'Infra Build BOQ'!AD32</f>
        <v>0</v>
      </c>
      <c r="S31" s="976">
        <f>'Infra Build BOQ'!AE32</f>
        <v>0</v>
      </c>
      <c r="T31" s="973">
        <f>'Infra Build BOQ'!AF32</f>
        <v>0</v>
      </c>
      <c r="U31" s="974">
        <f>'Infra Build BOQ'!AG32</f>
        <v>0</v>
      </c>
      <c r="V31" s="975">
        <f>'Infra Build BOQ'!AH32</f>
        <v>0</v>
      </c>
      <c r="W31" s="976">
        <f>'Infra Build BOQ'!AI32</f>
        <v>0</v>
      </c>
      <c r="X31" s="974">
        <f>'Infra Build BOQ'!AJ32</f>
        <v>0</v>
      </c>
      <c r="Y31" s="975">
        <f>'Infra Build BOQ'!AK32</f>
        <v>0</v>
      </c>
      <c r="Z31" s="977">
        <f>'Infra Build BOQ'!AL32</f>
        <v>0</v>
      </c>
    </row>
    <row r="32" spans="2:26" s="525" customFormat="1" ht="30" customHeight="1">
      <c r="B32" s="952">
        <f>'Master BOQ Pricing_2018-01-08'!B33</f>
        <v>2.17</v>
      </c>
      <c r="C32" s="953" t="str">
        <f>'Master BOQ Pricing_2018-01-08'!C33</f>
        <v xml:space="preserve">OSP - Excavation and Backfilling of trench in normal soil  Pickable (300 mm width x 700 mm depth) </v>
      </c>
      <c r="D32" s="954" t="str">
        <f>'Master BOQ Pricing_2018-01-08'!D33</f>
        <v>m</v>
      </c>
      <c r="E32" s="955">
        <f>'Master BOQ Pricing_2018-01-08'!E33</f>
        <v>60.23</v>
      </c>
      <c r="F32" s="956">
        <f>'Infra Build BOQ'!F33</f>
        <v>0</v>
      </c>
      <c r="G32" s="957">
        <f>'Infra Build BOQ'!G33</f>
        <v>0</v>
      </c>
      <c r="H32" s="973">
        <f>'Infra Build BOQ'!T33</f>
        <v>0</v>
      </c>
      <c r="I32" s="974">
        <f>'Infra Build BOQ'!U33</f>
        <v>0</v>
      </c>
      <c r="J32" s="975">
        <f>'Infra Build BOQ'!V33</f>
        <v>0</v>
      </c>
      <c r="K32" s="976">
        <f>'Infra Build BOQ'!W33</f>
        <v>0</v>
      </c>
      <c r="L32" s="973">
        <f>'Infra Build BOQ'!X33</f>
        <v>0</v>
      </c>
      <c r="M32" s="974">
        <f>'Infra Build BOQ'!Y33</f>
        <v>0</v>
      </c>
      <c r="N32" s="975">
        <f>'Infra Build BOQ'!Z33</f>
        <v>0</v>
      </c>
      <c r="O32" s="976">
        <f>'Infra Build BOQ'!AA33</f>
        <v>0</v>
      </c>
      <c r="P32" s="973">
        <f>'Infra Build BOQ'!AB33</f>
        <v>0</v>
      </c>
      <c r="Q32" s="974">
        <f>'Infra Build BOQ'!AC33</f>
        <v>0</v>
      </c>
      <c r="R32" s="975">
        <f>'Infra Build BOQ'!AD33</f>
        <v>0</v>
      </c>
      <c r="S32" s="976">
        <f>'Infra Build BOQ'!AE33</f>
        <v>0</v>
      </c>
      <c r="T32" s="973">
        <f>'Infra Build BOQ'!AF33</f>
        <v>0</v>
      </c>
      <c r="U32" s="974">
        <f>'Infra Build BOQ'!AG33</f>
        <v>0</v>
      </c>
      <c r="V32" s="975">
        <f>'Infra Build BOQ'!AH33</f>
        <v>0</v>
      </c>
      <c r="W32" s="976">
        <f>'Infra Build BOQ'!AI33</f>
        <v>0</v>
      </c>
      <c r="X32" s="974">
        <f>'Infra Build BOQ'!AJ33</f>
        <v>0</v>
      </c>
      <c r="Y32" s="975">
        <f>'Infra Build BOQ'!AK33</f>
        <v>0</v>
      </c>
      <c r="Z32" s="977">
        <f>'Infra Build BOQ'!AL33</f>
        <v>0</v>
      </c>
    </row>
    <row r="33" spans="2:26" s="525" customFormat="1" ht="30" customHeight="1">
      <c r="B33" s="952">
        <f>'Master BOQ Pricing_2018-01-08'!B34</f>
        <v>2.1800000000000002</v>
      </c>
      <c r="C33" s="953" t="str">
        <f>'Master BOQ Pricing_2018-01-08'!C34</f>
        <v xml:space="preserve">OSP - Excavation and Backfilling of trench in normal soil  Pickable (450 mm width x 1000 mm depth) </v>
      </c>
      <c r="D33" s="954" t="str">
        <f>'Master BOQ Pricing_2018-01-08'!D34</f>
        <v>m</v>
      </c>
      <c r="E33" s="955">
        <f>'Master BOQ Pricing_2018-01-08'!E34</f>
        <v>129.06</v>
      </c>
      <c r="F33" s="956">
        <f>'Infra Build BOQ'!F34</f>
        <v>0</v>
      </c>
      <c r="G33" s="957">
        <f>'Infra Build BOQ'!G34</f>
        <v>0</v>
      </c>
      <c r="H33" s="973">
        <f>'Infra Build BOQ'!T34</f>
        <v>0</v>
      </c>
      <c r="I33" s="974">
        <f>'Infra Build BOQ'!U34</f>
        <v>0</v>
      </c>
      <c r="J33" s="975">
        <f>'Infra Build BOQ'!V34</f>
        <v>0</v>
      </c>
      <c r="K33" s="976">
        <f>'Infra Build BOQ'!W34</f>
        <v>0</v>
      </c>
      <c r="L33" s="973">
        <f>'Infra Build BOQ'!X34</f>
        <v>0</v>
      </c>
      <c r="M33" s="974">
        <f>'Infra Build BOQ'!Y34</f>
        <v>0</v>
      </c>
      <c r="N33" s="975">
        <f>'Infra Build BOQ'!Z34</f>
        <v>0</v>
      </c>
      <c r="O33" s="976">
        <f>'Infra Build BOQ'!AA34</f>
        <v>0</v>
      </c>
      <c r="P33" s="973">
        <f>'Infra Build BOQ'!AB34</f>
        <v>0</v>
      </c>
      <c r="Q33" s="974">
        <f>'Infra Build BOQ'!AC34</f>
        <v>0</v>
      </c>
      <c r="R33" s="975">
        <f>'Infra Build BOQ'!AD34</f>
        <v>0</v>
      </c>
      <c r="S33" s="976">
        <f>'Infra Build BOQ'!AE34</f>
        <v>0</v>
      </c>
      <c r="T33" s="973">
        <f>'Infra Build BOQ'!AF34</f>
        <v>0</v>
      </c>
      <c r="U33" s="974">
        <f>'Infra Build BOQ'!AG34</f>
        <v>0</v>
      </c>
      <c r="V33" s="975">
        <f>'Infra Build BOQ'!AH34</f>
        <v>0</v>
      </c>
      <c r="W33" s="976">
        <f>'Infra Build BOQ'!AI34</f>
        <v>0</v>
      </c>
      <c r="X33" s="974">
        <f>'Infra Build BOQ'!AJ34</f>
        <v>0</v>
      </c>
      <c r="Y33" s="975">
        <f>'Infra Build BOQ'!AK34</f>
        <v>0</v>
      </c>
      <c r="Z33" s="977">
        <f>'Infra Build BOQ'!AL34</f>
        <v>0</v>
      </c>
    </row>
    <row r="34" spans="2:26" s="525" customFormat="1" ht="30" customHeight="1">
      <c r="B34" s="952">
        <f>'Master BOQ Pricing_2018-01-08'!B35</f>
        <v>2.19</v>
      </c>
      <c r="C34" s="953" t="str">
        <f>'Master BOQ Pricing_2018-01-08'!C35</f>
        <v xml:space="preserve">OSP - Applicable to RET Contractors only _ P&amp;Gs: OSP - an additional R5.00 per meter when excavation and backfilling of trench in normal soil pickable (400 mm width x 700 mm depth) </v>
      </c>
      <c r="D34" s="954" t="str">
        <f>'Master BOQ Pricing_2018-01-08'!D35</f>
        <v>m</v>
      </c>
      <c r="E34" s="955">
        <f>'Master BOQ Pricing_2018-01-08'!E35</f>
        <v>5</v>
      </c>
      <c r="F34" s="956">
        <f>'Infra Build BOQ'!F35</f>
        <v>0</v>
      </c>
      <c r="G34" s="957">
        <f>'Infra Build BOQ'!G35</f>
        <v>0</v>
      </c>
      <c r="H34" s="973">
        <f>'Infra Build BOQ'!T35</f>
        <v>0</v>
      </c>
      <c r="I34" s="974">
        <f>'Infra Build BOQ'!U35</f>
        <v>0</v>
      </c>
      <c r="J34" s="975">
        <f>'Infra Build BOQ'!V35</f>
        <v>0</v>
      </c>
      <c r="K34" s="976">
        <f>'Infra Build BOQ'!W35</f>
        <v>0</v>
      </c>
      <c r="L34" s="973">
        <f>'Infra Build BOQ'!X35</f>
        <v>0</v>
      </c>
      <c r="M34" s="974">
        <f>'Infra Build BOQ'!Y35</f>
        <v>0</v>
      </c>
      <c r="N34" s="975">
        <f>'Infra Build BOQ'!Z35</f>
        <v>0</v>
      </c>
      <c r="O34" s="976">
        <f>'Infra Build BOQ'!AA35</f>
        <v>0</v>
      </c>
      <c r="P34" s="973">
        <f>'Infra Build BOQ'!AB35</f>
        <v>0</v>
      </c>
      <c r="Q34" s="974">
        <f>'Infra Build BOQ'!AC35</f>
        <v>0</v>
      </c>
      <c r="R34" s="975">
        <f>'Infra Build BOQ'!AD35</f>
        <v>0</v>
      </c>
      <c r="S34" s="976">
        <f>'Infra Build BOQ'!AE35</f>
        <v>0</v>
      </c>
      <c r="T34" s="973">
        <f>'Infra Build BOQ'!AF35</f>
        <v>0</v>
      </c>
      <c r="U34" s="974">
        <f>'Infra Build BOQ'!AG35</f>
        <v>0</v>
      </c>
      <c r="V34" s="975">
        <f>'Infra Build BOQ'!AH35</f>
        <v>0</v>
      </c>
      <c r="W34" s="976">
        <f>'Infra Build BOQ'!AI35</f>
        <v>0</v>
      </c>
      <c r="X34" s="974">
        <f>'Infra Build BOQ'!AJ35</f>
        <v>0</v>
      </c>
      <c r="Y34" s="975">
        <f>'Infra Build BOQ'!AK35</f>
        <v>0</v>
      </c>
      <c r="Z34" s="977">
        <f>'Infra Build BOQ'!AL35</f>
        <v>0</v>
      </c>
    </row>
    <row r="35" spans="2:26" s="525" customFormat="1" ht="40.049999999999997" customHeight="1">
      <c r="B35" s="952">
        <f>'Master BOQ Pricing_2018-01-08'!B36</f>
        <v>2.2000000000000002</v>
      </c>
      <c r="C35" s="953" t="str">
        <f>'Master BOQ Pricing_2018-01-08'!C36</f>
        <v>OSP - Excavation and backfilling of trench in normal soil - 300mm width x  400mm depth including trench covered by ≤ 100mm of asphalt  or concrete (Pickable 18Mpa) (For access layer/FTTH layer in estates or complexes)</v>
      </c>
      <c r="D35" s="954" t="str">
        <f>'Master BOQ Pricing_2018-01-08'!D36</f>
        <v>m</v>
      </c>
      <c r="E35" s="955">
        <f>'Master BOQ Pricing_2018-01-08'!E36</f>
        <v>81.2</v>
      </c>
      <c r="F35" s="956">
        <f>'Infra Build BOQ'!F36</f>
        <v>0</v>
      </c>
      <c r="G35" s="957">
        <f>'Infra Build BOQ'!G36</f>
        <v>0</v>
      </c>
      <c r="H35" s="973">
        <f>'Infra Build BOQ'!T36</f>
        <v>0</v>
      </c>
      <c r="I35" s="974">
        <f>'Infra Build BOQ'!U36</f>
        <v>0</v>
      </c>
      <c r="J35" s="975">
        <f>'Infra Build BOQ'!V36</f>
        <v>0</v>
      </c>
      <c r="K35" s="976">
        <f>'Infra Build BOQ'!W36</f>
        <v>0</v>
      </c>
      <c r="L35" s="973">
        <f>'Infra Build BOQ'!X36</f>
        <v>0</v>
      </c>
      <c r="M35" s="974">
        <f>'Infra Build BOQ'!Y36</f>
        <v>0</v>
      </c>
      <c r="N35" s="975">
        <f>'Infra Build BOQ'!Z36</f>
        <v>0</v>
      </c>
      <c r="O35" s="976">
        <f>'Infra Build BOQ'!AA36</f>
        <v>0</v>
      </c>
      <c r="P35" s="973">
        <f>'Infra Build BOQ'!AB36</f>
        <v>0</v>
      </c>
      <c r="Q35" s="974">
        <f>'Infra Build BOQ'!AC36</f>
        <v>0</v>
      </c>
      <c r="R35" s="975">
        <f>'Infra Build BOQ'!AD36</f>
        <v>0</v>
      </c>
      <c r="S35" s="976">
        <f>'Infra Build BOQ'!AE36</f>
        <v>0</v>
      </c>
      <c r="T35" s="973">
        <f>'Infra Build BOQ'!AF36</f>
        <v>0</v>
      </c>
      <c r="U35" s="974">
        <f>'Infra Build BOQ'!AG36</f>
        <v>0</v>
      </c>
      <c r="V35" s="975">
        <f>'Infra Build BOQ'!AH36</f>
        <v>0</v>
      </c>
      <c r="W35" s="976">
        <f>'Infra Build BOQ'!AI36</f>
        <v>0</v>
      </c>
      <c r="X35" s="974">
        <f>'Infra Build BOQ'!AJ36</f>
        <v>0</v>
      </c>
      <c r="Y35" s="975">
        <f>'Infra Build BOQ'!AK36</f>
        <v>0</v>
      </c>
      <c r="Z35" s="977">
        <f>'Infra Build BOQ'!AL36</f>
        <v>0</v>
      </c>
    </row>
    <row r="36" spans="2:26" s="525" customFormat="1" ht="30" customHeight="1">
      <c r="B36" s="952">
        <f>'Master BOQ Pricing_2018-01-08'!B37</f>
        <v>2.21</v>
      </c>
      <c r="C36" s="953" t="str">
        <f>'Master BOQ Pricing_2018-01-08'!C37</f>
        <v xml:space="preserve">OSP - Excavation and backfilling of trench in normal soil - 300mm width x 700mm depth including trench covered by ≤  100mm of asphalt  or concrete (Pickable 18Mpa) </v>
      </c>
      <c r="D36" s="954" t="str">
        <f>'Master BOQ Pricing_2018-01-08'!D37</f>
        <v>m</v>
      </c>
      <c r="E36" s="955">
        <f>'Master BOQ Pricing_2018-01-08'!E37</f>
        <v>121.36</v>
      </c>
      <c r="F36" s="956">
        <f>'Infra Build BOQ'!F37</f>
        <v>0</v>
      </c>
      <c r="G36" s="957">
        <f>'Infra Build BOQ'!G37</f>
        <v>0</v>
      </c>
      <c r="H36" s="973">
        <f>'Infra Build BOQ'!T37</f>
        <v>0</v>
      </c>
      <c r="I36" s="974">
        <f>'Infra Build BOQ'!U37</f>
        <v>0</v>
      </c>
      <c r="J36" s="975">
        <f>'Infra Build BOQ'!V37</f>
        <v>0</v>
      </c>
      <c r="K36" s="976">
        <f>'Infra Build BOQ'!W37</f>
        <v>0</v>
      </c>
      <c r="L36" s="973">
        <f>'Infra Build BOQ'!X37</f>
        <v>0</v>
      </c>
      <c r="M36" s="974">
        <f>'Infra Build BOQ'!Y37</f>
        <v>0</v>
      </c>
      <c r="N36" s="975">
        <f>'Infra Build BOQ'!Z37</f>
        <v>0</v>
      </c>
      <c r="O36" s="976">
        <f>'Infra Build BOQ'!AA37</f>
        <v>0</v>
      </c>
      <c r="P36" s="973">
        <f>'Infra Build BOQ'!AB37</f>
        <v>0</v>
      </c>
      <c r="Q36" s="974">
        <f>'Infra Build BOQ'!AC37</f>
        <v>0</v>
      </c>
      <c r="R36" s="975">
        <f>'Infra Build BOQ'!AD37</f>
        <v>0</v>
      </c>
      <c r="S36" s="976">
        <f>'Infra Build BOQ'!AE37</f>
        <v>0</v>
      </c>
      <c r="T36" s="973">
        <f>'Infra Build BOQ'!AF37</f>
        <v>0</v>
      </c>
      <c r="U36" s="974">
        <f>'Infra Build BOQ'!AG37</f>
        <v>0</v>
      </c>
      <c r="V36" s="975">
        <f>'Infra Build BOQ'!AH37</f>
        <v>0</v>
      </c>
      <c r="W36" s="976">
        <f>'Infra Build BOQ'!AI37</f>
        <v>0</v>
      </c>
      <c r="X36" s="974">
        <f>'Infra Build BOQ'!AJ37</f>
        <v>0</v>
      </c>
      <c r="Y36" s="975">
        <f>'Infra Build BOQ'!AK37</f>
        <v>0</v>
      </c>
      <c r="Z36" s="977">
        <f>'Infra Build BOQ'!AL37</f>
        <v>0</v>
      </c>
    </row>
    <row r="37" spans="2:26" s="525" customFormat="1" ht="30" customHeight="1">
      <c r="B37" s="952">
        <f>'Master BOQ Pricing_2018-01-08'!B38</f>
        <v>2.2200000000000002</v>
      </c>
      <c r="C37" s="953" t="str">
        <f>'Master BOQ Pricing_2018-01-08'!C38</f>
        <v xml:space="preserve">OSP - Excavation and backfilling of trench in normal soil - 450mm width x 1000mm depth including trench covered by ≤  100mm of asphalt  or concrete (Pickable 18Mpa) </v>
      </c>
      <c r="D37" s="954" t="str">
        <f>'Master BOQ Pricing_2018-01-08'!D38</f>
        <v>m</v>
      </c>
      <c r="E37" s="955">
        <f>'Master BOQ Pricing_2018-01-08'!E38</f>
        <v>260.06</v>
      </c>
      <c r="F37" s="956">
        <f>'Infra Build BOQ'!F38</f>
        <v>0</v>
      </c>
      <c r="G37" s="957">
        <f>'Infra Build BOQ'!G38</f>
        <v>0</v>
      </c>
      <c r="H37" s="973">
        <f>'Infra Build BOQ'!T38</f>
        <v>0</v>
      </c>
      <c r="I37" s="974">
        <f>'Infra Build BOQ'!U38</f>
        <v>0</v>
      </c>
      <c r="J37" s="975">
        <f>'Infra Build BOQ'!V38</f>
        <v>0</v>
      </c>
      <c r="K37" s="976">
        <f>'Infra Build BOQ'!W38</f>
        <v>0</v>
      </c>
      <c r="L37" s="973">
        <f>'Infra Build BOQ'!X38</f>
        <v>0</v>
      </c>
      <c r="M37" s="974">
        <f>'Infra Build BOQ'!Y38</f>
        <v>0</v>
      </c>
      <c r="N37" s="975">
        <f>'Infra Build BOQ'!Z38</f>
        <v>0</v>
      </c>
      <c r="O37" s="976">
        <f>'Infra Build BOQ'!AA38</f>
        <v>0</v>
      </c>
      <c r="P37" s="973">
        <f>'Infra Build BOQ'!AB38</f>
        <v>0</v>
      </c>
      <c r="Q37" s="974">
        <f>'Infra Build BOQ'!AC38</f>
        <v>0</v>
      </c>
      <c r="R37" s="975">
        <f>'Infra Build BOQ'!AD38</f>
        <v>0</v>
      </c>
      <c r="S37" s="976">
        <f>'Infra Build BOQ'!AE38</f>
        <v>0</v>
      </c>
      <c r="T37" s="973">
        <f>'Infra Build BOQ'!AF38</f>
        <v>0</v>
      </c>
      <c r="U37" s="974">
        <f>'Infra Build BOQ'!AG38</f>
        <v>0</v>
      </c>
      <c r="V37" s="975">
        <f>'Infra Build BOQ'!AH38</f>
        <v>0</v>
      </c>
      <c r="W37" s="976">
        <f>'Infra Build BOQ'!AI38</f>
        <v>0</v>
      </c>
      <c r="X37" s="974">
        <f>'Infra Build BOQ'!AJ38</f>
        <v>0</v>
      </c>
      <c r="Y37" s="975">
        <f>'Infra Build BOQ'!AK38</f>
        <v>0</v>
      </c>
      <c r="Z37" s="977">
        <f>'Infra Build BOQ'!AL38</f>
        <v>0</v>
      </c>
    </row>
    <row r="38" spans="2:26" s="525" customFormat="1" ht="30" customHeight="1">
      <c r="B38" s="952">
        <f>'Master BOQ Pricing_2018-01-08'!B39</f>
        <v>2.23</v>
      </c>
      <c r="C38" s="953" t="str">
        <f>'Master BOQ Pricing_2018-01-08'!C39</f>
        <v>OSP - Break (already cut asphalt or concrete), excavation and backfilling of trench in normal soil 400mm width x 700mm depth including trench covered by ≤  100mm of asphalt or concrete (Pickable 18Mpa)</v>
      </c>
      <c r="D38" s="954" t="str">
        <f>'Master BOQ Pricing_2018-01-08'!D39</f>
        <v>m</v>
      </c>
      <c r="E38" s="955">
        <f>'Master BOQ Pricing_2018-01-08'!E39</f>
        <v>70.63</v>
      </c>
      <c r="F38" s="956">
        <f>'Infra Build BOQ'!F39</f>
        <v>0</v>
      </c>
      <c r="G38" s="957">
        <f>'Infra Build BOQ'!G39</f>
        <v>0</v>
      </c>
      <c r="H38" s="973">
        <f>'Infra Build BOQ'!T39</f>
        <v>0</v>
      </c>
      <c r="I38" s="974">
        <f>'Infra Build BOQ'!U39</f>
        <v>0</v>
      </c>
      <c r="J38" s="975">
        <f>'Infra Build BOQ'!V39</f>
        <v>0</v>
      </c>
      <c r="K38" s="976">
        <f>'Infra Build BOQ'!W39</f>
        <v>0</v>
      </c>
      <c r="L38" s="973">
        <f>'Infra Build BOQ'!X39</f>
        <v>0</v>
      </c>
      <c r="M38" s="974">
        <f>'Infra Build BOQ'!Y39</f>
        <v>0</v>
      </c>
      <c r="N38" s="975">
        <f>'Infra Build BOQ'!Z39</f>
        <v>0</v>
      </c>
      <c r="O38" s="976">
        <f>'Infra Build BOQ'!AA39</f>
        <v>0</v>
      </c>
      <c r="P38" s="973">
        <f>'Infra Build BOQ'!AB39</f>
        <v>0</v>
      </c>
      <c r="Q38" s="974">
        <f>'Infra Build BOQ'!AC39</f>
        <v>0</v>
      </c>
      <c r="R38" s="975">
        <f>'Infra Build BOQ'!AD39</f>
        <v>0</v>
      </c>
      <c r="S38" s="976">
        <f>'Infra Build BOQ'!AE39</f>
        <v>0</v>
      </c>
      <c r="T38" s="973">
        <f>'Infra Build BOQ'!AF39</f>
        <v>0</v>
      </c>
      <c r="U38" s="974">
        <f>'Infra Build BOQ'!AG39</f>
        <v>0</v>
      </c>
      <c r="V38" s="975">
        <f>'Infra Build BOQ'!AH39</f>
        <v>0</v>
      </c>
      <c r="W38" s="976">
        <f>'Infra Build BOQ'!AI39</f>
        <v>0</v>
      </c>
      <c r="X38" s="974">
        <f>'Infra Build BOQ'!AJ39</f>
        <v>0</v>
      </c>
      <c r="Y38" s="975">
        <f>'Infra Build BOQ'!AK39</f>
        <v>0</v>
      </c>
      <c r="Z38" s="977">
        <f>'Infra Build BOQ'!AL39</f>
        <v>0</v>
      </c>
    </row>
    <row r="39" spans="2:26" s="296" customFormat="1" ht="30" customHeight="1">
      <c r="B39" s="952">
        <f>'Master BOQ Pricing_2018-01-08'!B40</f>
        <v>2.2400000000000002</v>
      </c>
      <c r="C39" s="953" t="str">
        <f>'Master BOQ Pricing_2018-01-08'!C40</f>
        <v>OSP - Break (already cut asphalt or concrete), excavation and backfilling of trench in normal soil 450mm width x 1000mm depth including trench covered by ≤  100mm of asphalt or concrete (Pickable 18Mpa)</v>
      </c>
      <c r="D39" s="954" t="str">
        <f>'Master BOQ Pricing_2018-01-08'!D40</f>
        <v>m</v>
      </c>
      <c r="E39" s="955">
        <f>'Master BOQ Pricing_2018-01-08'!E40</f>
        <v>132.43</v>
      </c>
      <c r="F39" s="956">
        <f>'Infra Build BOQ'!F40</f>
        <v>0</v>
      </c>
      <c r="G39" s="957">
        <f>'Infra Build BOQ'!G40</f>
        <v>0</v>
      </c>
      <c r="H39" s="973">
        <f>'Infra Build BOQ'!T40</f>
        <v>0</v>
      </c>
      <c r="I39" s="974">
        <f>'Infra Build BOQ'!U40</f>
        <v>0</v>
      </c>
      <c r="J39" s="975">
        <f>'Infra Build BOQ'!V40</f>
        <v>0</v>
      </c>
      <c r="K39" s="976">
        <f>'Infra Build BOQ'!W40</f>
        <v>0</v>
      </c>
      <c r="L39" s="973">
        <f>'Infra Build BOQ'!X40</f>
        <v>0</v>
      </c>
      <c r="M39" s="974">
        <f>'Infra Build BOQ'!Y40</f>
        <v>0</v>
      </c>
      <c r="N39" s="975">
        <f>'Infra Build BOQ'!Z40</f>
        <v>0</v>
      </c>
      <c r="O39" s="976">
        <f>'Infra Build BOQ'!AA40</f>
        <v>0</v>
      </c>
      <c r="P39" s="973">
        <f>'Infra Build BOQ'!AB40</f>
        <v>0</v>
      </c>
      <c r="Q39" s="974">
        <f>'Infra Build BOQ'!AC40</f>
        <v>0</v>
      </c>
      <c r="R39" s="975">
        <f>'Infra Build BOQ'!AD40</f>
        <v>0</v>
      </c>
      <c r="S39" s="976">
        <f>'Infra Build BOQ'!AE40</f>
        <v>0</v>
      </c>
      <c r="T39" s="973">
        <f>'Infra Build BOQ'!AF40</f>
        <v>0</v>
      </c>
      <c r="U39" s="974">
        <f>'Infra Build BOQ'!AG40</f>
        <v>0</v>
      </c>
      <c r="V39" s="975">
        <f>'Infra Build BOQ'!AH40</f>
        <v>0</v>
      </c>
      <c r="W39" s="976">
        <f>'Infra Build BOQ'!AI40</f>
        <v>0</v>
      </c>
      <c r="X39" s="974">
        <f>'Infra Build BOQ'!AJ40</f>
        <v>0</v>
      </c>
      <c r="Y39" s="975">
        <f>'Infra Build BOQ'!AK40</f>
        <v>0</v>
      </c>
      <c r="Z39" s="977">
        <f>'Infra Build BOQ'!AL40</f>
        <v>0</v>
      </c>
    </row>
    <row r="40" spans="2:26" s="296" customFormat="1" ht="30" customHeight="1">
      <c r="B40" s="952">
        <f>'Master BOQ Pricing_2018-01-08'!B41</f>
        <v>2.25</v>
      </c>
      <c r="C40" s="953" t="str">
        <f>'Master BOQ Pricing_2018-01-08'!C41</f>
        <v xml:space="preserve">OSP - Excavation and backfilling of trench in normal soil including cutting/asphalt / concrete &gt;100mm thick (300mm width x 800mm  depth) </v>
      </c>
      <c r="D40" s="954" t="str">
        <f>'Master BOQ Pricing_2018-01-08'!D41</f>
        <v>m</v>
      </c>
      <c r="E40" s="955">
        <f>'Master BOQ Pricing_2018-01-08'!E41</f>
        <v>273.60000000000002</v>
      </c>
      <c r="F40" s="956">
        <f>'Infra Build BOQ'!F41</f>
        <v>0</v>
      </c>
      <c r="G40" s="957">
        <f>'Infra Build BOQ'!G41</f>
        <v>0</v>
      </c>
      <c r="H40" s="973">
        <f>'Infra Build BOQ'!T41</f>
        <v>0</v>
      </c>
      <c r="I40" s="974">
        <f>'Infra Build BOQ'!U41</f>
        <v>0</v>
      </c>
      <c r="J40" s="975">
        <f>'Infra Build BOQ'!V41</f>
        <v>0</v>
      </c>
      <c r="K40" s="976">
        <f>'Infra Build BOQ'!W41</f>
        <v>0</v>
      </c>
      <c r="L40" s="973">
        <f>'Infra Build BOQ'!X41</f>
        <v>0</v>
      </c>
      <c r="M40" s="974">
        <f>'Infra Build BOQ'!Y41</f>
        <v>0</v>
      </c>
      <c r="N40" s="975">
        <f>'Infra Build BOQ'!Z41</f>
        <v>0</v>
      </c>
      <c r="O40" s="976">
        <f>'Infra Build BOQ'!AA41</f>
        <v>0</v>
      </c>
      <c r="P40" s="973">
        <f>'Infra Build BOQ'!AB41</f>
        <v>0</v>
      </c>
      <c r="Q40" s="974">
        <f>'Infra Build BOQ'!AC41</f>
        <v>0</v>
      </c>
      <c r="R40" s="975">
        <f>'Infra Build BOQ'!AD41</f>
        <v>0</v>
      </c>
      <c r="S40" s="976">
        <f>'Infra Build BOQ'!AE41</f>
        <v>0</v>
      </c>
      <c r="T40" s="973">
        <f>'Infra Build BOQ'!AF41</f>
        <v>0</v>
      </c>
      <c r="U40" s="974">
        <f>'Infra Build BOQ'!AG41</f>
        <v>0</v>
      </c>
      <c r="V40" s="975">
        <f>'Infra Build BOQ'!AH41</f>
        <v>0</v>
      </c>
      <c r="W40" s="976">
        <f>'Infra Build BOQ'!AI41</f>
        <v>0</v>
      </c>
      <c r="X40" s="974">
        <f>'Infra Build BOQ'!AJ41</f>
        <v>0</v>
      </c>
      <c r="Y40" s="975">
        <f>'Infra Build BOQ'!AK41</f>
        <v>0</v>
      </c>
      <c r="Z40" s="977">
        <f>'Infra Build BOQ'!AL41</f>
        <v>0</v>
      </c>
    </row>
    <row r="41" spans="2:26" s="296" customFormat="1" ht="30" customHeight="1">
      <c r="B41" s="952">
        <f>'Master BOQ Pricing_2018-01-08'!B42</f>
        <v>2.2599999999999998</v>
      </c>
      <c r="C41" s="953" t="str">
        <f>'Master BOQ Pricing_2018-01-08'!C42</f>
        <v xml:space="preserve">OSP - Excavation and backfilling of trench in normal soil including cutting/asphalt / concrete &gt;100mm thick (450mm width x 1000mm  depth) </v>
      </c>
      <c r="D41" s="954" t="str">
        <f>'Master BOQ Pricing_2018-01-08'!D42</f>
        <v>m</v>
      </c>
      <c r="E41" s="955">
        <f>'Master BOQ Pricing_2018-01-08'!E42</f>
        <v>513</v>
      </c>
      <c r="F41" s="956">
        <f>'Infra Build BOQ'!F42</f>
        <v>0</v>
      </c>
      <c r="G41" s="957">
        <f>'Infra Build BOQ'!G42</f>
        <v>0</v>
      </c>
      <c r="H41" s="973">
        <f>'Infra Build BOQ'!T42</f>
        <v>0</v>
      </c>
      <c r="I41" s="974">
        <f>'Infra Build BOQ'!U42</f>
        <v>0</v>
      </c>
      <c r="J41" s="975">
        <f>'Infra Build BOQ'!V42</f>
        <v>0</v>
      </c>
      <c r="K41" s="976">
        <f>'Infra Build BOQ'!W42</f>
        <v>0</v>
      </c>
      <c r="L41" s="973">
        <f>'Infra Build BOQ'!X42</f>
        <v>0</v>
      </c>
      <c r="M41" s="974">
        <f>'Infra Build BOQ'!Y42</f>
        <v>0</v>
      </c>
      <c r="N41" s="975">
        <f>'Infra Build BOQ'!Z42</f>
        <v>0</v>
      </c>
      <c r="O41" s="976">
        <f>'Infra Build BOQ'!AA42</f>
        <v>0</v>
      </c>
      <c r="P41" s="973">
        <f>'Infra Build BOQ'!AB42</f>
        <v>0</v>
      </c>
      <c r="Q41" s="974">
        <f>'Infra Build BOQ'!AC42</f>
        <v>0</v>
      </c>
      <c r="R41" s="975">
        <f>'Infra Build BOQ'!AD42</f>
        <v>0</v>
      </c>
      <c r="S41" s="976">
        <f>'Infra Build BOQ'!AE42</f>
        <v>0</v>
      </c>
      <c r="T41" s="973">
        <f>'Infra Build BOQ'!AF42</f>
        <v>0</v>
      </c>
      <c r="U41" s="974">
        <f>'Infra Build BOQ'!AG42</f>
        <v>0</v>
      </c>
      <c r="V41" s="975">
        <f>'Infra Build BOQ'!AH42</f>
        <v>0</v>
      </c>
      <c r="W41" s="976">
        <f>'Infra Build BOQ'!AI42</f>
        <v>0</v>
      </c>
      <c r="X41" s="974">
        <f>'Infra Build BOQ'!AJ42</f>
        <v>0</v>
      </c>
      <c r="Y41" s="975">
        <f>'Infra Build BOQ'!AK42</f>
        <v>0</v>
      </c>
      <c r="Z41" s="977">
        <f>'Infra Build BOQ'!AL42</f>
        <v>0</v>
      </c>
    </row>
    <row r="42" spans="2:26" s="296" customFormat="1" ht="30" customHeight="1">
      <c r="B42" s="952">
        <f>'Master BOQ Pricing_2018-01-08'!B43</f>
        <v>2.27</v>
      </c>
      <c r="C42" s="953" t="str">
        <f>'Master BOQ Pricing_2018-01-08'!C43</f>
        <v>OSP - Break (already cut asphalt or concrete), excavation and backfilling of trench in normal soil 400mm width x 700mm depth including trench covered by &gt;100mm of asphalt or concrete (Pickable 18Mpa)</v>
      </c>
      <c r="D42" s="954" t="str">
        <f>'Master BOQ Pricing_2018-01-08'!D43</f>
        <v>m</v>
      </c>
      <c r="E42" s="955">
        <f>'Master BOQ Pricing_2018-01-08'!E43</f>
        <v>84.75</v>
      </c>
      <c r="F42" s="956">
        <f>'Infra Build BOQ'!F43</f>
        <v>0</v>
      </c>
      <c r="G42" s="957">
        <f>'Infra Build BOQ'!G43</f>
        <v>0</v>
      </c>
      <c r="H42" s="973">
        <f>'Infra Build BOQ'!T43</f>
        <v>0</v>
      </c>
      <c r="I42" s="974">
        <f>'Infra Build BOQ'!U43</f>
        <v>0</v>
      </c>
      <c r="J42" s="975">
        <f>'Infra Build BOQ'!V43</f>
        <v>0</v>
      </c>
      <c r="K42" s="976">
        <f>'Infra Build BOQ'!W43</f>
        <v>0</v>
      </c>
      <c r="L42" s="973">
        <f>'Infra Build BOQ'!X43</f>
        <v>0</v>
      </c>
      <c r="M42" s="974">
        <f>'Infra Build BOQ'!Y43</f>
        <v>0</v>
      </c>
      <c r="N42" s="975">
        <f>'Infra Build BOQ'!Z43</f>
        <v>0</v>
      </c>
      <c r="O42" s="976">
        <f>'Infra Build BOQ'!AA43</f>
        <v>0</v>
      </c>
      <c r="P42" s="973">
        <f>'Infra Build BOQ'!AB43</f>
        <v>0</v>
      </c>
      <c r="Q42" s="974">
        <f>'Infra Build BOQ'!AC43</f>
        <v>0</v>
      </c>
      <c r="R42" s="975">
        <f>'Infra Build BOQ'!AD43</f>
        <v>0</v>
      </c>
      <c r="S42" s="976">
        <f>'Infra Build BOQ'!AE43</f>
        <v>0</v>
      </c>
      <c r="T42" s="973">
        <f>'Infra Build BOQ'!AF43</f>
        <v>0</v>
      </c>
      <c r="U42" s="974">
        <f>'Infra Build BOQ'!AG43</f>
        <v>0</v>
      </c>
      <c r="V42" s="975">
        <f>'Infra Build BOQ'!AH43</f>
        <v>0</v>
      </c>
      <c r="W42" s="976">
        <f>'Infra Build BOQ'!AI43</f>
        <v>0</v>
      </c>
      <c r="X42" s="974">
        <f>'Infra Build BOQ'!AJ43</f>
        <v>0</v>
      </c>
      <c r="Y42" s="975">
        <f>'Infra Build BOQ'!AK43</f>
        <v>0</v>
      </c>
      <c r="Z42" s="977">
        <f>'Infra Build BOQ'!AL43</f>
        <v>0</v>
      </c>
    </row>
    <row r="43" spans="2:26" s="296" customFormat="1" ht="30" customHeight="1">
      <c r="B43" s="952">
        <f>'Master BOQ Pricing_2018-01-08'!B44</f>
        <v>2.2799999999999998</v>
      </c>
      <c r="C43" s="953" t="str">
        <f>'Master BOQ Pricing_2018-01-08'!C44</f>
        <v>OSP - Break (already cut asphalt or concrete), excavation and backfilling of trench in normal soil 450mm width x 1000mm depth including trench covered by &gt;100mm of asphalt or concrete (Pickable 18Mpa)</v>
      </c>
      <c r="D43" s="954" t="str">
        <f>'Master BOQ Pricing_2018-01-08'!D44</f>
        <v>m</v>
      </c>
      <c r="E43" s="955">
        <f>'Master BOQ Pricing_2018-01-08'!E44</f>
        <v>158.91</v>
      </c>
      <c r="F43" s="956">
        <f>'Infra Build BOQ'!F44</f>
        <v>0</v>
      </c>
      <c r="G43" s="957">
        <f>'Infra Build BOQ'!G44</f>
        <v>0</v>
      </c>
      <c r="H43" s="973">
        <f>'Infra Build BOQ'!T44</f>
        <v>0</v>
      </c>
      <c r="I43" s="974">
        <f>'Infra Build BOQ'!U44</f>
        <v>0</v>
      </c>
      <c r="J43" s="975">
        <f>'Infra Build BOQ'!V44</f>
        <v>0</v>
      </c>
      <c r="K43" s="976">
        <f>'Infra Build BOQ'!W44</f>
        <v>0</v>
      </c>
      <c r="L43" s="973">
        <f>'Infra Build BOQ'!X44</f>
        <v>0</v>
      </c>
      <c r="M43" s="974">
        <f>'Infra Build BOQ'!Y44</f>
        <v>0</v>
      </c>
      <c r="N43" s="975">
        <f>'Infra Build BOQ'!Z44</f>
        <v>0</v>
      </c>
      <c r="O43" s="976">
        <f>'Infra Build BOQ'!AA44</f>
        <v>0</v>
      </c>
      <c r="P43" s="973">
        <f>'Infra Build BOQ'!AB44</f>
        <v>0</v>
      </c>
      <c r="Q43" s="974">
        <f>'Infra Build BOQ'!AC44</f>
        <v>0</v>
      </c>
      <c r="R43" s="975">
        <f>'Infra Build BOQ'!AD44</f>
        <v>0</v>
      </c>
      <c r="S43" s="976">
        <f>'Infra Build BOQ'!AE44</f>
        <v>0</v>
      </c>
      <c r="T43" s="973">
        <f>'Infra Build BOQ'!AF44</f>
        <v>0</v>
      </c>
      <c r="U43" s="974">
        <f>'Infra Build BOQ'!AG44</f>
        <v>0</v>
      </c>
      <c r="V43" s="975">
        <f>'Infra Build BOQ'!AH44</f>
        <v>0</v>
      </c>
      <c r="W43" s="976">
        <f>'Infra Build BOQ'!AI44</f>
        <v>0</v>
      </c>
      <c r="X43" s="974">
        <f>'Infra Build BOQ'!AJ44</f>
        <v>0</v>
      </c>
      <c r="Y43" s="975">
        <f>'Infra Build BOQ'!AK44</f>
        <v>0</v>
      </c>
      <c r="Z43" s="977">
        <f>'Infra Build BOQ'!AL44</f>
        <v>0</v>
      </c>
    </row>
    <row r="44" spans="2:26" s="296" customFormat="1" ht="30" customHeight="1">
      <c r="B44" s="1019">
        <f>'Master BOQ Pricing_2018-01-08'!B45</f>
        <v>2.29</v>
      </c>
      <c r="C44" s="953" t="str">
        <f>'Master BOQ Pricing_2018-01-08'!C45</f>
        <v>OSP - Break, excavation and backfilling of trench in hard soil (Mechanical tools required) (450mm width x 1000mm depth)</v>
      </c>
      <c r="D44" s="954" t="str">
        <f>'Master BOQ Pricing_2018-01-08'!D45</f>
        <v>m</v>
      </c>
      <c r="E44" s="955">
        <f>'Master BOQ Pricing_2018-01-08'!E45</f>
        <v>158.91</v>
      </c>
      <c r="F44" s="956">
        <f>'Infra Build BOQ'!F45</f>
        <v>0</v>
      </c>
      <c r="G44" s="957">
        <f>'Infra Build BOQ'!G45</f>
        <v>0</v>
      </c>
      <c r="H44" s="973">
        <f>'Infra Build BOQ'!T45</f>
        <v>0</v>
      </c>
      <c r="I44" s="974">
        <f>'Infra Build BOQ'!U45</f>
        <v>0</v>
      </c>
      <c r="J44" s="975">
        <f>'Infra Build BOQ'!V45</f>
        <v>0</v>
      </c>
      <c r="K44" s="976">
        <f>'Infra Build BOQ'!W45</f>
        <v>0</v>
      </c>
      <c r="L44" s="973">
        <f>'Infra Build BOQ'!X45</f>
        <v>0</v>
      </c>
      <c r="M44" s="974">
        <f>'Infra Build BOQ'!Y45</f>
        <v>0</v>
      </c>
      <c r="N44" s="975">
        <f>'Infra Build BOQ'!Z45</f>
        <v>0</v>
      </c>
      <c r="O44" s="976">
        <f>'Infra Build BOQ'!AA45</f>
        <v>0</v>
      </c>
      <c r="P44" s="973">
        <f>'Infra Build BOQ'!AB45</f>
        <v>0</v>
      </c>
      <c r="Q44" s="974">
        <f>'Infra Build BOQ'!AC45</f>
        <v>0</v>
      </c>
      <c r="R44" s="975">
        <f>'Infra Build BOQ'!AD45</f>
        <v>0</v>
      </c>
      <c r="S44" s="976">
        <f>'Infra Build BOQ'!AE45</f>
        <v>0</v>
      </c>
      <c r="T44" s="973">
        <f>'Infra Build BOQ'!AF45</f>
        <v>0</v>
      </c>
      <c r="U44" s="974">
        <f>'Infra Build BOQ'!AG45</f>
        <v>0</v>
      </c>
      <c r="V44" s="975">
        <f>'Infra Build BOQ'!AH45</f>
        <v>0</v>
      </c>
      <c r="W44" s="976">
        <f>'Infra Build BOQ'!AI45</f>
        <v>0</v>
      </c>
      <c r="X44" s="974">
        <f>'Infra Build BOQ'!AJ45</f>
        <v>0</v>
      </c>
      <c r="Y44" s="975">
        <f>'Infra Build BOQ'!AK45</f>
        <v>0</v>
      </c>
      <c r="Z44" s="977">
        <f>'Infra Build BOQ'!AL45</f>
        <v>0</v>
      </c>
    </row>
    <row r="45" spans="2:26" s="296" customFormat="1" ht="30" customHeight="1">
      <c r="B45" s="1019">
        <f>'Master BOQ Pricing_2018-01-08'!B46</f>
        <v>2.2999999999999998</v>
      </c>
      <c r="C45" s="953" t="str">
        <f>'Master BOQ Pricing_2018-01-08'!C46</f>
        <v>OSP - Break, excavation and backfilling of trench including cutting/breaking of vegetation/ Landscaping in hard soil (Mechanical tools required) (450mm width  x 1000mm depth)</v>
      </c>
      <c r="D45" s="954" t="str">
        <f>'Master BOQ Pricing_2018-01-08'!D46</f>
        <v>m</v>
      </c>
      <c r="E45" s="955">
        <f>'Master BOQ Pricing_2018-01-08'!E46</f>
        <v>161.94999999999999</v>
      </c>
      <c r="F45" s="956">
        <f>'Infra Build BOQ'!F46</f>
        <v>0</v>
      </c>
      <c r="G45" s="957">
        <f>'Infra Build BOQ'!G46</f>
        <v>0</v>
      </c>
      <c r="H45" s="973">
        <f>'Infra Build BOQ'!T46</f>
        <v>0</v>
      </c>
      <c r="I45" s="974">
        <f>'Infra Build BOQ'!U46</f>
        <v>0</v>
      </c>
      <c r="J45" s="975">
        <f>'Infra Build BOQ'!V46</f>
        <v>0</v>
      </c>
      <c r="K45" s="976">
        <f>'Infra Build BOQ'!W46</f>
        <v>0</v>
      </c>
      <c r="L45" s="973">
        <f>'Infra Build BOQ'!X46</f>
        <v>0</v>
      </c>
      <c r="M45" s="974">
        <f>'Infra Build BOQ'!Y46</f>
        <v>0</v>
      </c>
      <c r="N45" s="975">
        <f>'Infra Build BOQ'!Z46</f>
        <v>0</v>
      </c>
      <c r="O45" s="976">
        <f>'Infra Build BOQ'!AA46</f>
        <v>0</v>
      </c>
      <c r="P45" s="973">
        <f>'Infra Build BOQ'!AB46</f>
        <v>0</v>
      </c>
      <c r="Q45" s="974">
        <f>'Infra Build BOQ'!AC46</f>
        <v>0</v>
      </c>
      <c r="R45" s="975">
        <f>'Infra Build BOQ'!AD46</f>
        <v>0</v>
      </c>
      <c r="S45" s="976">
        <f>'Infra Build BOQ'!AE46</f>
        <v>0</v>
      </c>
      <c r="T45" s="973">
        <f>'Infra Build BOQ'!AF46</f>
        <v>0</v>
      </c>
      <c r="U45" s="974">
        <f>'Infra Build BOQ'!AG46</f>
        <v>0</v>
      </c>
      <c r="V45" s="975">
        <f>'Infra Build BOQ'!AH46</f>
        <v>0</v>
      </c>
      <c r="W45" s="976">
        <f>'Infra Build BOQ'!AI46</f>
        <v>0</v>
      </c>
      <c r="X45" s="974">
        <f>'Infra Build BOQ'!AJ46</f>
        <v>0</v>
      </c>
      <c r="Y45" s="975">
        <f>'Infra Build BOQ'!AK46</f>
        <v>0</v>
      </c>
      <c r="Z45" s="977">
        <f>'Infra Build BOQ'!AL46</f>
        <v>0</v>
      </c>
    </row>
    <row r="46" spans="2:26" s="296" customFormat="1" ht="30" customHeight="1">
      <c r="B46" s="952">
        <f>'Master BOQ Pricing_2018-01-08'!B47</f>
        <v>2.31</v>
      </c>
      <c r="C46" s="953" t="str">
        <f>'Master BOQ Pricing_2018-01-08'!C47</f>
        <v>OSP - Excavation and backfilling of trench including cutting/breaking of vegetation/ Landscaping  (300mm width  x 700mm depth )</v>
      </c>
      <c r="D46" s="954" t="str">
        <f>'Master BOQ Pricing_2018-01-08'!D47</f>
        <v>m</v>
      </c>
      <c r="E46" s="955">
        <f>'Master BOQ Pricing_2018-01-08'!E47</f>
        <v>67</v>
      </c>
      <c r="F46" s="956">
        <f>'Infra Build BOQ'!F47</f>
        <v>0</v>
      </c>
      <c r="G46" s="957">
        <f>'Infra Build BOQ'!G47</f>
        <v>0</v>
      </c>
      <c r="H46" s="973">
        <f>'Infra Build BOQ'!T47</f>
        <v>0</v>
      </c>
      <c r="I46" s="974">
        <f>'Infra Build BOQ'!U47</f>
        <v>0</v>
      </c>
      <c r="J46" s="975">
        <f>'Infra Build BOQ'!V47</f>
        <v>0</v>
      </c>
      <c r="K46" s="976">
        <f>'Infra Build BOQ'!W47</f>
        <v>0</v>
      </c>
      <c r="L46" s="973">
        <f>'Infra Build BOQ'!X47</f>
        <v>0</v>
      </c>
      <c r="M46" s="974">
        <f>'Infra Build BOQ'!Y47</f>
        <v>0</v>
      </c>
      <c r="N46" s="975">
        <f>'Infra Build BOQ'!Z47</f>
        <v>0</v>
      </c>
      <c r="O46" s="976">
        <f>'Infra Build BOQ'!AA47</f>
        <v>0</v>
      </c>
      <c r="P46" s="973">
        <f>'Infra Build BOQ'!AB47</f>
        <v>0</v>
      </c>
      <c r="Q46" s="974">
        <f>'Infra Build BOQ'!AC47</f>
        <v>0</v>
      </c>
      <c r="R46" s="975">
        <f>'Infra Build BOQ'!AD47</f>
        <v>0</v>
      </c>
      <c r="S46" s="976">
        <f>'Infra Build BOQ'!AE47</f>
        <v>0</v>
      </c>
      <c r="T46" s="973">
        <f>'Infra Build BOQ'!AF47</f>
        <v>0</v>
      </c>
      <c r="U46" s="974">
        <f>'Infra Build BOQ'!AG47</f>
        <v>0</v>
      </c>
      <c r="V46" s="975">
        <f>'Infra Build BOQ'!AH47</f>
        <v>0</v>
      </c>
      <c r="W46" s="976">
        <f>'Infra Build BOQ'!AI47</f>
        <v>0</v>
      </c>
      <c r="X46" s="974">
        <f>'Infra Build BOQ'!AJ47</f>
        <v>0</v>
      </c>
      <c r="Y46" s="975">
        <f>'Infra Build BOQ'!AK47</f>
        <v>0</v>
      </c>
      <c r="Z46" s="977">
        <f>'Infra Build BOQ'!AL47</f>
        <v>0</v>
      </c>
    </row>
    <row r="47" spans="2:26" s="296" customFormat="1" ht="30" customHeight="1">
      <c r="B47" s="952">
        <f>'Master BOQ Pricing_2018-01-08'!B48</f>
        <v>2.3199999999999998</v>
      </c>
      <c r="C47" s="953" t="str">
        <f>'Master BOQ Pricing_2018-01-08'!C48</f>
        <v>OSP - Excavation and backfilling of trench including cutting/breaking of vegetation/ Landscaping  (450mm width  x 1000mm depth)</v>
      </c>
      <c r="D47" s="954" t="str">
        <f>'Master BOQ Pricing_2018-01-08'!D48</f>
        <v>m</v>
      </c>
      <c r="E47" s="955">
        <f>'Master BOQ Pricing_2018-01-08'!E48</f>
        <v>143.57</v>
      </c>
      <c r="F47" s="956">
        <f>'Infra Build BOQ'!F48</f>
        <v>0</v>
      </c>
      <c r="G47" s="957">
        <f>'Infra Build BOQ'!G48</f>
        <v>0</v>
      </c>
      <c r="H47" s="973">
        <f>'Infra Build BOQ'!T48</f>
        <v>0</v>
      </c>
      <c r="I47" s="974">
        <f>'Infra Build BOQ'!U48</f>
        <v>0</v>
      </c>
      <c r="J47" s="975">
        <f>'Infra Build BOQ'!V48</f>
        <v>0</v>
      </c>
      <c r="K47" s="976">
        <f>'Infra Build BOQ'!W48</f>
        <v>0</v>
      </c>
      <c r="L47" s="973">
        <f>'Infra Build BOQ'!X48</f>
        <v>0</v>
      </c>
      <c r="M47" s="974">
        <f>'Infra Build BOQ'!Y48</f>
        <v>0</v>
      </c>
      <c r="N47" s="975">
        <f>'Infra Build BOQ'!Z48</f>
        <v>0</v>
      </c>
      <c r="O47" s="976">
        <f>'Infra Build BOQ'!AA48</f>
        <v>0</v>
      </c>
      <c r="P47" s="973">
        <f>'Infra Build BOQ'!AB48</f>
        <v>0</v>
      </c>
      <c r="Q47" s="974">
        <f>'Infra Build BOQ'!AC48</f>
        <v>0</v>
      </c>
      <c r="R47" s="975">
        <f>'Infra Build BOQ'!AD48</f>
        <v>0</v>
      </c>
      <c r="S47" s="976">
        <f>'Infra Build BOQ'!AE48</f>
        <v>0</v>
      </c>
      <c r="T47" s="973">
        <f>'Infra Build BOQ'!AF48</f>
        <v>0</v>
      </c>
      <c r="U47" s="974">
        <f>'Infra Build BOQ'!AG48</f>
        <v>0</v>
      </c>
      <c r="V47" s="975">
        <f>'Infra Build BOQ'!AH48</f>
        <v>0</v>
      </c>
      <c r="W47" s="976">
        <f>'Infra Build BOQ'!AI48</f>
        <v>0</v>
      </c>
      <c r="X47" s="974">
        <f>'Infra Build BOQ'!AJ48</f>
        <v>0</v>
      </c>
      <c r="Y47" s="975">
        <f>'Infra Build BOQ'!AK48</f>
        <v>0</v>
      </c>
      <c r="Z47" s="977">
        <f>'Infra Build BOQ'!AL48</f>
        <v>0</v>
      </c>
    </row>
    <row r="48" spans="2:26" s="296" customFormat="1" ht="30" customHeight="1">
      <c r="B48" s="952">
        <f>'Master BOQ Pricing_2018-01-08'!B49</f>
        <v>2.33</v>
      </c>
      <c r="C48" s="953" t="str">
        <f>'Master BOQ Pricing_2018-01-08'!C49</f>
        <v xml:space="preserve">OSP - Excavation and Backfilling of trench in normal soil  Pickable using a Tractor Loader Backhoe (TLB) (300mm width x 600 to 800mm depth) </v>
      </c>
      <c r="D48" s="954" t="str">
        <f>'Master BOQ Pricing_2018-01-08'!D49</f>
        <v>m</v>
      </c>
      <c r="E48" s="955">
        <f>'Master BOQ Pricing_2018-01-08'!E49</f>
        <v>34.130000000000003</v>
      </c>
      <c r="F48" s="956">
        <f>'Infra Build BOQ'!F49</f>
        <v>0</v>
      </c>
      <c r="G48" s="957">
        <f>'Infra Build BOQ'!G49</f>
        <v>0</v>
      </c>
      <c r="H48" s="973">
        <f>'Infra Build BOQ'!T49</f>
        <v>0</v>
      </c>
      <c r="I48" s="974">
        <f>'Infra Build BOQ'!U49</f>
        <v>0</v>
      </c>
      <c r="J48" s="975">
        <f>'Infra Build BOQ'!V49</f>
        <v>0</v>
      </c>
      <c r="K48" s="976">
        <f>'Infra Build BOQ'!W49</f>
        <v>0</v>
      </c>
      <c r="L48" s="973">
        <f>'Infra Build BOQ'!X49</f>
        <v>0</v>
      </c>
      <c r="M48" s="974">
        <f>'Infra Build BOQ'!Y49</f>
        <v>0</v>
      </c>
      <c r="N48" s="975">
        <f>'Infra Build BOQ'!Z49</f>
        <v>0</v>
      </c>
      <c r="O48" s="976">
        <f>'Infra Build BOQ'!AA49</f>
        <v>0</v>
      </c>
      <c r="P48" s="973">
        <f>'Infra Build BOQ'!AB49</f>
        <v>0</v>
      </c>
      <c r="Q48" s="974">
        <f>'Infra Build BOQ'!AC49</f>
        <v>0</v>
      </c>
      <c r="R48" s="975">
        <f>'Infra Build BOQ'!AD49</f>
        <v>0</v>
      </c>
      <c r="S48" s="976">
        <f>'Infra Build BOQ'!AE49</f>
        <v>0</v>
      </c>
      <c r="T48" s="973">
        <f>'Infra Build BOQ'!AF49</f>
        <v>0</v>
      </c>
      <c r="U48" s="974">
        <f>'Infra Build BOQ'!AG49</f>
        <v>0</v>
      </c>
      <c r="V48" s="975">
        <f>'Infra Build BOQ'!AH49</f>
        <v>0</v>
      </c>
      <c r="W48" s="976">
        <f>'Infra Build BOQ'!AI49</f>
        <v>0</v>
      </c>
      <c r="X48" s="974">
        <f>'Infra Build BOQ'!AJ49</f>
        <v>0</v>
      </c>
      <c r="Y48" s="975">
        <f>'Infra Build BOQ'!AK49</f>
        <v>0</v>
      </c>
      <c r="Z48" s="977">
        <f>'Infra Build BOQ'!AL49</f>
        <v>0</v>
      </c>
    </row>
    <row r="49" spans="2:26" s="296" customFormat="1" ht="30" customHeight="1">
      <c r="B49" s="952">
        <f>'Master BOQ Pricing_2018-01-08'!B50</f>
        <v>2.34</v>
      </c>
      <c r="C49" s="953" t="str">
        <f>'Master BOQ Pricing_2018-01-08'!C50</f>
        <v xml:space="preserve">OSP - Excavation and Backfilling of trench in Intermediate soil  using a Tractor Loader Backhoe (TLB) (300mm width x 600 to 800mm depth) </v>
      </c>
      <c r="D49" s="954" t="str">
        <f>'Master BOQ Pricing_2018-01-08'!D50</f>
        <v>m</v>
      </c>
      <c r="E49" s="955">
        <f>'Master BOQ Pricing_2018-01-08'!E50</f>
        <v>50.2</v>
      </c>
      <c r="F49" s="956">
        <f>'Infra Build BOQ'!F50</f>
        <v>0</v>
      </c>
      <c r="G49" s="957">
        <f>'Infra Build BOQ'!G50</f>
        <v>0</v>
      </c>
      <c r="H49" s="973">
        <f>'Infra Build BOQ'!T50</f>
        <v>0</v>
      </c>
      <c r="I49" s="974">
        <f>'Infra Build BOQ'!U50</f>
        <v>0</v>
      </c>
      <c r="J49" s="975">
        <f>'Infra Build BOQ'!V50</f>
        <v>0</v>
      </c>
      <c r="K49" s="976">
        <f>'Infra Build BOQ'!W50</f>
        <v>0</v>
      </c>
      <c r="L49" s="973">
        <f>'Infra Build BOQ'!X50</f>
        <v>0</v>
      </c>
      <c r="M49" s="974">
        <f>'Infra Build BOQ'!Y50</f>
        <v>0</v>
      </c>
      <c r="N49" s="975">
        <f>'Infra Build BOQ'!Z50</f>
        <v>0</v>
      </c>
      <c r="O49" s="976">
        <f>'Infra Build BOQ'!AA50</f>
        <v>0</v>
      </c>
      <c r="P49" s="973">
        <f>'Infra Build BOQ'!AB50</f>
        <v>0</v>
      </c>
      <c r="Q49" s="974">
        <f>'Infra Build BOQ'!AC50</f>
        <v>0</v>
      </c>
      <c r="R49" s="975">
        <f>'Infra Build BOQ'!AD50</f>
        <v>0</v>
      </c>
      <c r="S49" s="976">
        <f>'Infra Build BOQ'!AE50</f>
        <v>0</v>
      </c>
      <c r="T49" s="973">
        <f>'Infra Build BOQ'!AF50</f>
        <v>0</v>
      </c>
      <c r="U49" s="974">
        <f>'Infra Build BOQ'!AG50</f>
        <v>0</v>
      </c>
      <c r="V49" s="975">
        <f>'Infra Build BOQ'!AH50</f>
        <v>0</v>
      </c>
      <c r="W49" s="976">
        <f>'Infra Build BOQ'!AI50</f>
        <v>0</v>
      </c>
      <c r="X49" s="974">
        <f>'Infra Build BOQ'!AJ50</f>
        <v>0</v>
      </c>
      <c r="Y49" s="975">
        <f>'Infra Build BOQ'!AK50</f>
        <v>0</v>
      </c>
      <c r="Z49" s="977">
        <f>'Infra Build BOQ'!AL50</f>
        <v>0</v>
      </c>
    </row>
    <row r="50" spans="2:26" s="296" customFormat="1" ht="30" customHeight="1">
      <c r="B50" s="952">
        <f>'Master BOQ Pricing_2018-01-08'!B51</f>
        <v>2.35</v>
      </c>
      <c r="C50" s="953" t="str">
        <f>'Master BOQ Pricing_2018-01-08'!C51</f>
        <v>OSP - Excavation and Backfilling of trench using a Compact Mechanical Trenching Machine (160mm width x 600 to 800mm depth)</v>
      </c>
      <c r="D50" s="954" t="str">
        <f>'Master BOQ Pricing_2018-01-08'!D51</f>
        <v>m</v>
      </c>
      <c r="E50" s="955">
        <f>'Master BOQ Pricing_2018-01-08'!E51</f>
        <v>24.75</v>
      </c>
      <c r="F50" s="956">
        <f>'Infra Build BOQ'!F51</f>
        <v>0</v>
      </c>
      <c r="G50" s="957">
        <f>'Infra Build BOQ'!G51</f>
        <v>0</v>
      </c>
      <c r="H50" s="973">
        <f>'Infra Build BOQ'!T51</f>
        <v>0</v>
      </c>
      <c r="I50" s="974">
        <f>'Infra Build BOQ'!U51</f>
        <v>0</v>
      </c>
      <c r="J50" s="975">
        <f>'Infra Build BOQ'!V51</f>
        <v>0</v>
      </c>
      <c r="K50" s="976">
        <f>'Infra Build BOQ'!W51</f>
        <v>0</v>
      </c>
      <c r="L50" s="973">
        <f>'Infra Build BOQ'!X51</f>
        <v>0</v>
      </c>
      <c r="M50" s="974">
        <f>'Infra Build BOQ'!Y51</f>
        <v>0</v>
      </c>
      <c r="N50" s="975">
        <f>'Infra Build BOQ'!Z51</f>
        <v>0</v>
      </c>
      <c r="O50" s="976">
        <f>'Infra Build BOQ'!AA51</f>
        <v>0</v>
      </c>
      <c r="P50" s="973">
        <f>'Infra Build BOQ'!AB51</f>
        <v>0</v>
      </c>
      <c r="Q50" s="974">
        <f>'Infra Build BOQ'!AC51</f>
        <v>0</v>
      </c>
      <c r="R50" s="975">
        <f>'Infra Build BOQ'!AD51</f>
        <v>0</v>
      </c>
      <c r="S50" s="976">
        <f>'Infra Build BOQ'!AE51</f>
        <v>0</v>
      </c>
      <c r="T50" s="973">
        <f>'Infra Build BOQ'!AF51</f>
        <v>0</v>
      </c>
      <c r="U50" s="974">
        <f>'Infra Build BOQ'!AG51</f>
        <v>0</v>
      </c>
      <c r="V50" s="975">
        <f>'Infra Build BOQ'!AH51</f>
        <v>0</v>
      </c>
      <c r="W50" s="976">
        <f>'Infra Build BOQ'!AI51</f>
        <v>0</v>
      </c>
      <c r="X50" s="974">
        <f>'Infra Build BOQ'!AJ51</f>
        <v>0</v>
      </c>
      <c r="Y50" s="975">
        <f>'Infra Build BOQ'!AK51</f>
        <v>0</v>
      </c>
      <c r="Z50" s="977">
        <f>'Infra Build BOQ'!AL51</f>
        <v>0</v>
      </c>
    </row>
    <row r="51" spans="2:26" s="296" customFormat="1" ht="30" customHeight="1">
      <c r="B51" s="952">
        <f>'Master BOQ Pricing_2018-01-08'!B52</f>
        <v>2.36</v>
      </c>
      <c r="C51" s="953" t="str">
        <f>'Master BOQ Pricing_2018-01-08'!C52</f>
        <v>OSP - Excavation and Backfilling of trench using a Compact Mechanical Trenching Machine including installation of duct in trench (160mm width x 600 to 800mm depth)</v>
      </c>
      <c r="D51" s="954" t="str">
        <f>'Master BOQ Pricing_2018-01-08'!D52</f>
        <v>m</v>
      </c>
      <c r="E51" s="955">
        <f>'Master BOQ Pricing_2018-01-08'!E52</f>
        <v>30.25</v>
      </c>
      <c r="F51" s="956">
        <f>'Infra Build BOQ'!F52</f>
        <v>0</v>
      </c>
      <c r="G51" s="957">
        <f>'Infra Build BOQ'!G52</f>
        <v>0</v>
      </c>
      <c r="H51" s="973">
        <f>'Infra Build BOQ'!T52</f>
        <v>0</v>
      </c>
      <c r="I51" s="974">
        <f>'Infra Build BOQ'!U52</f>
        <v>0</v>
      </c>
      <c r="J51" s="975">
        <f>'Infra Build BOQ'!V52</f>
        <v>0</v>
      </c>
      <c r="K51" s="976">
        <f>'Infra Build BOQ'!W52</f>
        <v>0</v>
      </c>
      <c r="L51" s="973">
        <f>'Infra Build BOQ'!X52</f>
        <v>0</v>
      </c>
      <c r="M51" s="974">
        <f>'Infra Build BOQ'!Y52</f>
        <v>0</v>
      </c>
      <c r="N51" s="975">
        <f>'Infra Build BOQ'!Z52</f>
        <v>0</v>
      </c>
      <c r="O51" s="976">
        <f>'Infra Build BOQ'!AA52</f>
        <v>0</v>
      </c>
      <c r="P51" s="973">
        <f>'Infra Build BOQ'!AB52</f>
        <v>0</v>
      </c>
      <c r="Q51" s="974">
        <f>'Infra Build BOQ'!AC52</f>
        <v>0</v>
      </c>
      <c r="R51" s="975">
        <f>'Infra Build BOQ'!AD52</f>
        <v>0</v>
      </c>
      <c r="S51" s="976">
        <f>'Infra Build BOQ'!AE52</f>
        <v>0</v>
      </c>
      <c r="T51" s="973">
        <f>'Infra Build BOQ'!AF52</f>
        <v>0</v>
      </c>
      <c r="U51" s="974">
        <f>'Infra Build BOQ'!AG52</f>
        <v>0</v>
      </c>
      <c r="V51" s="975">
        <f>'Infra Build BOQ'!AH52</f>
        <v>0</v>
      </c>
      <c r="W51" s="976">
        <f>'Infra Build BOQ'!AI52</f>
        <v>0</v>
      </c>
      <c r="X51" s="974">
        <f>'Infra Build BOQ'!AJ52</f>
        <v>0</v>
      </c>
      <c r="Y51" s="975">
        <f>'Infra Build BOQ'!AK52</f>
        <v>0</v>
      </c>
      <c r="Z51" s="977">
        <f>'Infra Build BOQ'!AL52</f>
        <v>0</v>
      </c>
    </row>
    <row r="52" spans="2:26" s="296" customFormat="1" ht="30" customHeight="1">
      <c r="B52" s="952">
        <f>'Master BOQ Pricing_2018-01-08'!B53</f>
        <v>2.37</v>
      </c>
      <c r="C52" s="953" t="str">
        <f>'Master BOQ Pricing_2018-01-08'!C53</f>
        <v>OSP - Excavation and Backfilling of trench in Intermediate soil using a Compact Mechanical Trenching Machine including installation of duct in trench (160mm width x 600 to 800mm depth)</v>
      </c>
      <c r="D52" s="954" t="str">
        <f>'Master BOQ Pricing_2018-01-08'!D53</f>
        <v>m</v>
      </c>
      <c r="E52" s="955">
        <f>'Master BOQ Pricing_2018-01-08'!E53</f>
        <v>49.5</v>
      </c>
      <c r="F52" s="956">
        <f>'Infra Build BOQ'!F53</f>
        <v>0</v>
      </c>
      <c r="G52" s="957">
        <f>'Infra Build BOQ'!G53</f>
        <v>0</v>
      </c>
      <c r="H52" s="973">
        <f>'Infra Build BOQ'!T53</f>
        <v>0</v>
      </c>
      <c r="I52" s="974">
        <f>'Infra Build BOQ'!U53</f>
        <v>0</v>
      </c>
      <c r="J52" s="975">
        <f>'Infra Build BOQ'!V53</f>
        <v>0</v>
      </c>
      <c r="K52" s="976">
        <f>'Infra Build BOQ'!W53</f>
        <v>0</v>
      </c>
      <c r="L52" s="973">
        <f>'Infra Build BOQ'!X53</f>
        <v>0</v>
      </c>
      <c r="M52" s="974">
        <f>'Infra Build BOQ'!Y53</f>
        <v>0</v>
      </c>
      <c r="N52" s="975">
        <f>'Infra Build BOQ'!Z53</f>
        <v>0</v>
      </c>
      <c r="O52" s="976">
        <f>'Infra Build BOQ'!AA53</f>
        <v>0</v>
      </c>
      <c r="P52" s="973">
        <f>'Infra Build BOQ'!AB53</f>
        <v>0</v>
      </c>
      <c r="Q52" s="974">
        <f>'Infra Build BOQ'!AC53</f>
        <v>0</v>
      </c>
      <c r="R52" s="975">
        <f>'Infra Build BOQ'!AD53</f>
        <v>0</v>
      </c>
      <c r="S52" s="976">
        <f>'Infra Build BOQ'!AE53</f>
        <v>0</v>
      </c>
      <c r="T52" s="973">
        <f>'Infra Build BOQ'!AF53</f>
        <v>0</v>
      </c>
      <c r="U52" s="974">
        <f>'Infra Build BOQ'!AG53</f>
        <v>0</v>
      </c>
      <c r="V52" s="975">
        <f>'Infra Build BOQ'!AH53</f>
        <v>0</v>
      </c>
      <c r="W52" s="976">
        <f>'Infra Build BOQ'!AI53</f>
        <v>0</v>
      </c>
      <c r="X52" s="974">
        <f>'Infra Build BOQ'!AJ53</f>
        <v>0</v>
      </c>
      <c r="Y52" s="975">
        <f>'Infra Build BOQ'!AK53</f>
        <v>0</v>
      </c>
      <c r="Z52" s="977">
        <f>'Infra Build BOQ'!AL53</f>
        <v>0</v>
      </c>
    </row>
    <row r="53" spans="2:26" s="296" customFormat="1">
      <c r="B53" s="952">
        <f>'Master BOQ Pricing_2018-01-08'!B54</f>
        <v>2.38</v>
      </c>
      <c r="C53" s="953" t="str">
        <f>'Master BOQ Pricing_2018-01-08'!C54</f>
        <v>Excavation of hard rock in trench</v>
      </c>
      <c r="D53" s="954" t="str">
        <f>'Master BOQ Pricing_2018-01-08'!D54</f>
        <v>m³</v>
      </c>
      <c r="E53" s="955">
        <f>'Master BOQ Pricing_2018-01-08'!E54</f>
        <v>867.39</v>
      </c>
      <c r="F53" s="956">
        <f>'Infra Build BOQ'!F54</f>
        <v>0</v>
      </c>
      <c r="G53" s="957">
        <f>'Infra Build BOQ'!G54</f>
        <v>0</v>
      </c>
      <c r="H53" s="973">
        <f>'Infra Build BOQ'!T54</f>
        <v>0</v>
      </c>
      <c r="I53" s="974">
        <f>'Infra Build BOQ'!U54</f>
        <v>0</v>
      </c>
      <c r="J53" s="975">
        <f>'Infra Build BOQ'!V54</f>
        <v>0</v>
      </c>
      <c r="K53" s="976">
        <f>'Infra Build BOQ'!W54</f>
        <v>0</v>
      </c>
      <c r="L53" s="973">
        <f>'Infra Build BOQ'!X54</f>
        <v>0</v>
      </c>
      <c r="M53" s="974">
        <f>'Infra Build BOQ'!Y54</f>
        <v>0</v>
      </c>
      <c r="N53" s="975">
        <f>'Infra Build BOQ'!Z54</f>
        <v>0</v>
      </c>
      <c r="O53" s="976">
        <f>'Infra Build BOQ'!AA54</f>
        <v>0</v>
      </c>
      <c r="P53" s="973">
        <f>'Infra Build BOQ'!AB54</f>
        <v>0</v>
      </c>
      <c r="Q53" s="974">
        <f>'Infra Build BOQ'!AC54</f>
        <v>0</v>
      </c>
      <c r="R53" s="975">
        <f>'Infra Build BOQ'!AD54</f>
        <v>0</v>
      </c>
      <c r="S53" s="976">
        <f>'Infra Build BOQ'!AE54</f>
        <v>0</v>
      </c>
      <c r="T53" s="973">
        <f>'Infra Build BOQ'!AF54</f>
        <v>0</v>
      </c>
      <c r="U53" s="974">
        <f>'Infra Build BOQ'!AG54</f>
        <v>0</v>
      </c>
      <c r="V53" s="975">
        <f>'Infra Build BOQ'!AH54</f>
        <v>0</v>
      </c>
      <c r="W53" s="976">
        <f>'Infra Build BOQ'!AI54</f>
        <v>0</v>
      </c>
      <c r="X53" s="974">
        <f>'Infra Build BOQ'!AJ54</f>
        <v>0</v>
      </c>
      <c r="Y53" s="975">
        <f>'Infra Build BOQ'!AK54</f>
        <v>0</v>
      </c>
      <c r="Z53" s="977">
        <f>'Infra Build BOQ'!AL54</f>
        <v>0</v>
      </c>
    </row>
    <row r="54" spans="2:26" s="296" customFormat="1">
      <c r="B54" s="952">
        <f>'Master BOQ Pricing_2018-01-08'!B55</f>
        <v>2.39</v>
      </c>
      <c r="C54" s="953" t="str">
        <f>'Master BOQ Pricing_2018-01-08'!C55</f>
        <v>Excavation of intermediate rock in trench</v>
      </c>
      <c r="D54" s="954" t="str">
        <f>'Master BOQ Pricing_2018-01-08'!D55</f>
        <v>m³</v>
      </c>
      <c r="E54" s="955">
        <f>'Master BOQ Pricing_2018-01-08'!E55</f>
        <v>494.09</v>
      </c>
      <c r="F54" s="956">
        <f>'Infra Build BOQ'!F55</f>
        <v>0</v>
      </c>
      <c r="G54" s="957">
        <f>'Infra Build BOQ'!G55</f>
        <v>0</v>
      </c>
      <c r="H54" s="973">
        <f>'Infra Build BOQ'!T55</f>
        <v>0</v>
      </c>
      <c r="I54" s="974">
        <f>'Infra Build BOQ'!U55</f>
        <v>0</v>
      </c>
      <c r="J54" s="975">
        <f>'Infra Build BOQ'!V55</f>
        <v>0</v>
      </c>
      <c r="K54" s="976">
        <f>'Infra Build BOQ'!W55</f>
        <v>0</v>
      </c>
      <c r="L54" s="973">
        <f>'Infra Build BOQ'!X55</f>
        <v>0</v>
      </c>
      <c r="M54" s="974">
        <f>'Infra Build BOQ'!Y55</f>
        <v>0</v>
      </c>
      <c r="N54" s="975">
        <f>'Infra Build BOQ'!Z55</f>
        <v>0</v>
      </c>
      <c r="O54" s="976">
        <f>'Infra Build BOQ'!AA55</f>
        <v>0</v>
      </c>
      <c r="P54" s="973">
        <f>'Infra Build BOQ'!AB55</f>
        <v>0</v>
      </c>
      <c r="Q54" s="974">
        <f>'Infra Build BOQ'!AC55</f>
        <v>0</v>
      </c>
      <c r="R54" s="975">
        <f>'Infra Build BOQ'!AD55</f>
        <v>0</v>
      </c>
      <c r="S54" s="976">
        <f>'Infra Build BOQ'!AE55</f>
        <v>0</v>
      </c>
      <c r="T54" s="973">
        <f>'Infra Build BOQ'!AF55</f>
        <v>0</v>
      </c>
      <c r="U54" s="974">
        <f>'Infra Build BOQ'!AG55</f>
        <v>0</v>
      </c>
      <c r="V54" s="975">
        <f>'Infra Build BOQ'!AH55</f>
        <v>0</v>
      </c>
      <c r="W54" s="976">
        <f>'Infra Build BOQ'!AI55</f>
        <v>0</v>
      </c>
      <c r="X54" s="974">
        <f>'Infra Build BOQ'!AJ55</f>
        <v>0</v>
      </c>
      <c r="Y54" s="975">
        <f>'Infra Build BOQ'!AK55</f>
        <v>0</v>
      </c>
      <c r="Z54" s="977">
        <f>'Infra Build BOQ'!AL55</f>
        <v>0</v>
      </c>
    </row>
    <row r="55" spans="2:26" s="296" customFormat="1">
      <c r="B55" s="952">
        <f>'Master BOQ Pricing_2018-01-08'!B56</f>
        <v>2.4</v>
      </c>
      <c r="C55" s="953" t="str">
        <f>'Master BOQ Pricing_2018-01-08'!C56</f>
        <v>Excavation and backfilling of trench in Hard Soil (400mm width x 700mm depth)</v>
      </c>
      <c r="D55" s="954" t="str">
        <f>'Master BOQ Pricing_2018-01-08'!D56</f>
        <v>m</v>
      </c>
      <c r="E55" s="955">
        <f>'Master BOQ Pricing_2018-01-08'!E56</f>
        <v>88.35</v>
      </c>
      <c r="F55" s="956">
        <f>'Infra Build BOQ'!F56</f>
        <v>0</v>
      </c>
      <c r="G55" s="957">
        <f>'Infra Build BOQ'!G56</f>
        <v>0</v>
      </c>
      <c r="H55" s="973">
        <f>'Infra Build BOQ'!T56</f>
        <v>0</v>
      </c>
      <c r="I55" s="974">
        <f>'Infra Build BOQ'!U56</f>
        <v>0</v>
      </c>
      <c r="J55" s="975">
        <f>'Infra Build BOQ'!V56</f>
        <v>0</v>
      </c>
      <c r="K55" s="976">
        <f>'Infra Build BOQ'!W56</f>
        <v>0</v>
      </c>
      <c r="L55" s="973">
        <f>'Infra Build BOQ'!X56</f>
        <v>0</v>
      </c>
      <c r="M55" s="974">
        <f>'Infra Build BOQ'!Y56</f>
        <v>0</v>
      </c>
      <c r="N55" s="975">
        <f>'Infra Build BOQ'!Z56</f>
        <v>0</v>
      </c>
      <c r="O55" s="976">
        <f>'Infra Build BOQ'!AA56</f>
        <v>0</v>
      </c>
      <c r="P55" s="973">
        <f>'Infra Build BOQ'!AB56</f>
        <v>0</v>
      </c>
      <c r="Q55" s="974">
        <f>'Infra Build BOQ'!AC56</f>
        <v>0</v>
      </c>
      <c r="R55" s="975">
        <f>'Infra Build BOQ'!AD56</f>
        <v>0</v>
      </c>
      <c r="S55" s="976">
        <f>'Infra Build BOQ'!AE56</f>
        <v>0</v>
      </c>
      <c r="T55" s="973">
        <f>'Infra Build BOQ'!AF56</f>
        <v>0</v>
      </c>
      <c r="U55" s="974">
        <f>'Infra Build BOQ'!AG56</f>
        <v>0</v>
      </c>
      <c r="V55" s="975">
        <f>'Infra Build BOQ'!AH56</f>
        <v>0</v>
      </c>
      <c r="W55" s="976">
        <f>'Infra Build BOQ'!AI56</f>
        <v>0</v>
      </c>
      <c r="X55" s="974">
        <f>'Infra Build BOQ'!AJ56</f>
        <v>0</v>
      </c>
      <c r="Y55" s="975">
        <f>'Infra Build BOQ'!AK56</f>
        <v>0</v>
      </c>
      <c r="Z55" s="977">
        <f>'Infra Build BOQ'!AL56</f>
        <v>0</v>
      </c>
    </row>
    <row r="56" spans="2:26" s="296" customFormat="1">
      <c r="B56" s="963">
        <f>'Master BOQ Pricing_2018-01-08'!B57</f>
        <v>2</v>
      </c>
      <c r="C56" s="964" t="str">
        <f>'Master BOQ Pricing_2018-01-08'!C57</f>
        <v>WALLS &amp; SPECILISED SURFACES</v>
      </c>
      <c r="D56" s="965"/>
      <c r="E56" s="966"/>
      <c r="F56" s="967"/>
      <c r="G56" s="968"/>
      <c r="H56" s="969"/>
      <c r="I56" s="970"/>
      <c r="J56" s="971"/>
      <c r="K56" s="968"/>
      <c r="L56" s="969"/>
      <c r="M56" s="970"/>
      <c r="N56" s="971"/>
      <c r="O56" s="968"/>
      <c r="P56" s="969"/>
      <c r="Q56" s="970"/>
      <c r="R56" s="971"/>
      <c r="S56" s="968"/>
      <c r="T56" s="969"/>
      <c r="U56" s="970"/>
      <c r="V56" s="971"/>
      <c r="W56" s="968"/>
      <c r="X56" s="970"/>
      <c r="Y56" s="971"/>
      <c r="Z56" s="972"/>
    </row>
    <row r="57" spans="2:26" s="296" customFormat="1">
      <c r="B57" s="952">
        <f>'Master BOQ Pricing_2018-01-08'!B58</f>
        <v>2.39</v>
      </c>
      <c r="C57" s="953" t="str">
        <f>'Master BOQ Pricing_2018-01-08'!C58</f>
        <v>Build single brick retaining wall</v>
      </c>
      <c r="D57" s="954" t="str">
        <f>'Master BOQ Pricing_2018-01-08'!D58</f>
        <v>m²</v>
      </c>
      <c r="E57" s="955">
        <f>'Master BOQ Pricing_2018-01-08'!E58</f>
        <v>350</v>
      </c>
      <c r="F57" s="956">
        <f>'Infra Build BOQ'!F58</f>
        <v>0</v>
      </c>
      <c r="G57" s="957">
        <f>'Infra Build BOQ'!G58</f>
        <v>0</v>
      </c>
      <c r="H57" s="973">
        <f>'Infra Build BOQ'!T58</f>
        <v>0</v>
      </c>
      <c r="I57" s="974">
        <f>'Infra Build BOQ'!U58</f>
        <v>0</v>
      </c>
      <c r="J57" s="975">
        <f>'Infra Build BOQ'!V58</f>
        <v>0</v>
      </c>
      <c r="K57" s="976">
        <f>'Infra Build BOQ'!W58</f>
        <v>0</v>
      </c>
      <c r="L57" s="973">
        <f>'Infra Build BOQ'!X58</f>
        <v>0</v>
      </c>
      <c r="M57" s="974">
        <f>'Infra Build BOQ'!Y58</f>
        <v>0</v>
      </c>
      <c r="N57" s="975">
        <f>'Infra Build BOQ'!Z58</f>
        <v>0</v>
      </c>
      <c r="O57" s="976">
        <f>'Infra Build BOQ'!AA58</f>
        <v>0</v>
      </c>
      <c r="P57" s="973">
        <f>'Infra Build BOQ'!AB58</f>
        <v>0</v>
      </c>
      <c r="Q57" s="974">
        <f>'Infra Build BOQ'!AC58</f>
        <v>0</v>
      </c>
      <c r="R57" s="975">
        <f>'Infra Build BOQ'!AD58</f>
        <v>0</v>
      </c>
      <c r="S57" s="976">
        <f>'Infra Build BOQ'!AE58</f>
        <v>0</v>
      </c>
      <c r="T57" s="973">
        <f>'Infra Build BOQ'!AF58</f>
        <v>0</v>
      </c>
      <c r="U57" s="974">
        <f>'Infra Build BOQ'!AG58</f>
        <v>0</v>
      </c>
      <c r="V57" s="975">
        <f>'Infra Build BOQ'!AH58</f>
        <v>0</v>
      </c>
      <c r="W57" s="976">
        <f>'Infra Build BOQ'!AI58</f>
        <v>0</v>
      </c>
      <c r="X57" s="974">
        <f>'Infra Build BOQ'!AJ58</f>
        <v>0</v>
      </c>
      <c r="Y57" s="975">
        <f>'Infra Build BOQ'!AK58</f>
        <v>0</v>
      </c>
      <c r="Z57" s="977">
        <f>'Infra Build BOQ'!AL58</f>
        <v>0</v>
      </c>
    </row>
    <row r="58" spans="2:26" s="296" customFormat="1">
      <c r="B58" s="952">
        <f>'Master BOQ Pricing_2018-01-08'!B59</f>
        <v>2.4</v>
      </c>
      <c r="C58" s="953" t="str">
        <f>'Master BOQ Pricing_2018-01-08'!C59</f>
        <v>Build double brick retaining wall</v>
      </c>
      <c r="D58" s="954" t="str">
        <f>'Master BOQ Pricing_2018-01-08'!D59</f>
        <v>m²</v>
      </c>
      <c r="E58" s="955">
        <f>'Master BOQ Pricing_2018-01-08'!E59</f>
        <v>700</v>
      </c>
      <c r="F58" s="956">
        <f>'Infra Build BOQ'!F59</f>
        <v>0</v>
      </c>
      <c r="G58" s="957">
        <f>'Infra Build BOQ'!G59</f>
        <v>0</v>
      </c>
      <c r="H58" s="973">
        <f>'Infra Build BOQ'!T59</f>
        <v>0</v>
      </c>
      <c r="I58" s="974">
        <f>'Infra Build BOQ'!U59</f>
        <v>0</v>
      </c>
      <c r="J58" s="975">
        <f>'Infra Build BOQ'!V59</f>
        <v>0</v>
      </c>
      <c r="K58" s="976">
        <f>'Infra Build BOQ'!W59</f>
        <v>0</v>
      </c>
      <c r="L58" s="973">
        <f>'Infra Build BOQ'!X59</f>
        <v>0</v>
      </c>
      <c r="M58" s="974">
        <f>'Infra Build BOQ'!Y59</f>
        <v>0</v>
      </c>
      <c r="N58" s="975">
        <f>'Infra Build BOQ'!Z59</f>
        <v>0</v>
      </c>
      <c r="O58" s="976">
        <f>'Infra Build BOQ'!AA59</f>
        <v>0</v>
      </c>
      <c r="P58" s="973">
        <f>'Infra Build BOQ'!AB59</f>
        <v>0</v>
      </c>
      <c r="Q58" s="974">
        <f>'Infra Build BOQ'!AC59</f>
        <v>0</v>
      </c>
      <c r="R58" s="975">
        <f>'Infra Build BOQ'!AD59</f>
        <v>0</v>
      </c>
      <c r="S58" s="976">
        <f>'Infra Build BOQ'!AE59</f>
        <v>0</v>
      </c>
      <c r="T58" s="973">
        <f>'Infra Build BOQ'!AF59</f>
        <v>0</v>
      </c>
      <c r="U58" s="974">
        <f>'Infra Build BOQ'!AG59</f>
        <v>0</v>
      </c>
      <c r="V58" s="975">
        <f>'Infra Build BOQ'!AH59</f>
        <v>0</v>
      </c>
      <c r="W58" s="976">
        <f>'Infra Build BOQ'!AI59</f>
        <v>0</v>
      </c>
      <c r="X58" s="974">
        <f>'Infra Build BOQ'!AJ59</f>
        <v>0</v>
      </c>
      <c r="Y58" s="975">
        <f>'Infra Build BOQ'!AK59</f>
        <v>0</v>
      </c>
      <c r="Z58" s="977">
        <f>'Infra Build BOQ'!AL59</f>
        <v>0</v>
      </c>
    </row>
    <row r="59" spans="2:26" s="525" customFormat="1">
      <c r="B59" s="952">
        <f>'Master BOQ Pricing_2018-01-08'!B60</f>
        <v>2.41</v>
      </c>
      <c r="C59" s="953" t="str">
        <f>'Master BOQ Pricing_2018-01-08'!C60</f>
        <v>Supply and install interlocking block retaining wall</v>
      </c>
      <c r="D59" s="954" t="str">
        <f>'Master BOQ Pricing_2018-01-08'!D60</f>
        <v xml:space="preserve">ea </v>
      </c>
      <c r="E59" s="955">
        <f>'Master BOQ Pricing_2018-01-08'!E60</f>
        <v>26.26</v>
      </c>
      <c r="F59" s="956">
        <f>'Infra Build BOQ'!F60</f>
        <v>0</v>
      </c>
      <c r="G59" s="957">
        <f>'Infra Build BOQ'!G60</f>
        <v>0</v>
      </c>
      <c r="H59" s="973">
        <f>'Infra Build BOQ'!T60</f>
        <v>0</v>
      </c>
      <c r="I59" s="974">
        <f>'Infra Build BOQ'!U60</f>
        <v>0</v>
      </c>
      <c r="J59" s="975">
        <f>'Infra Build BOQ'!V60</f>
        <v>0</v>
      </c>
      <c r="K59" s="976">
        <f>'Infra Build BOQ'!W60</f>
        <v>0</v>
      </c>
      <c r="L59" s="973">
        <f>'Infra Build BOQ'!X60</f>
        <v>0</v>
      </c>
      <c r="M59" s="974">
        <f>'Infra Build BOQ'!Y60</f>
        <v>0</v>
      </c>
      <c r="N59" s="975">
        <f>'Infra Build BOQ'!Z60</f>
        <v>0</v>
      </c>
      <c r="O59" s="976">
        <f>'Infra Build BOQ'!AA60</f>
        <v>0</v>
      </c>
      <c r="P59" s="973">
        <f>'Infra Build BOQ'!AB60</f>
        <v>0</v>
      </c>
      <c r="Q59" s="974">
        <f>'Infra Build BOQ'!AC60</f>
        <v>0</v>
      </c>
      <c r="R59" s="975">
        <f>'Infra Build BOQ'!AD60</f>
        <v>0</v>
      </c>
      <c r="S59" s="976">
        <f>'Infra Build BOQ'!AE60</f>
        <v>0</v>
      </c>
      <c r="T59" s="973">
        <f>'Infra Build BOQ'!AF60</f>
        <v>0</v>
      </c>
      <c r="U59" s="974">
        <f>'Infra Build BOQ'!AG60</f>
        <v>0</v>
      </c>
      <c r="V59" s="975">
        <f>'Infra Build BOQ'!AH60</f>
        <v>0</v>
      </c>
      <c r="W59" s="976">
        <f>'Infra Build BOQ'!AI60</f>
        <v>0</v>
      </c>
      <c r="X59" s="974">
        <f>'Infra Build BOQ'!AJ60</f>
        <v>0</v>
      </c>
      <c r="Y59" s="975">
        <f>'Infra Build BOQ'!AK60</f>
        <v>0</v>
      </c>
      <c r="Z59" s="977">
        <f>'Infra Build BOQ'!AL60</f>
        <v>0</v>
      </c>
    </row>
    <row r="60" spans="2:26" s="526" customFormat="1">
      <c r="B60" s="952">
        <f>'Master BOQ Pricing_2018-01-08'!B61</f>
        <v>2.42</v>
      </c>
      <c r="C60" s="953" t="str">
        <f>'Master BOQ Pricing_2018-01-08'!C61</f>
        <v>Removal of paving /m2 (Brick paving  Slabbed paving and Slasto)</v>
      </c>
      <c r="D60" s="954" t="str">
        <f>'Master BOQ Pricing_2018-01-08'!D61</f>
        <v>m²</v>
      </c>
      <c r="E60" s="955">
        <f>'Master BOQ Pricing_2018-01-08'!E61</f>
        <v>28.5</v>
      </c>
      <c r="F60" s="956">
        <f>'Infra Build BOQ'!F61</f>
        <v>0</v>
      </c>
      <c r="G60" s="957">
        <f>'Infra Build BOQ'!G61</f>
        <v>0</v>
      </c>
      <c r="H60" s="973">
        <f>'Infra Build BOQ'!T61</f>
        <v>0</v>
      </c>
      <c r="I60" s="974">
        <f>'Infra Build BOQ'!U61</f>
        <v>0</v>
      </c>
      <c r="J60" s="975">
        <f>'Infra Build BOQ'!V61</f>
        <v>0</v>
      </c>
      <c r="K60" s="976">
        <f>'Infra Build BOQ'!W61</f>
        <v>0</v>
      </c>
      <c r="L60" s="973">
        <f>'Infra Build BOQ'!X61</f>
        <v>0</v>
      </c>
      <c r="M60" s="974">
        <f>'Infra Build BOQ'!Y61</f>
        <v>0</v>
      </c>
      <c r="N60" s="975">
        <f>'Infra Build BOQ'!Z61</f>
        <v>0</v>
      </c>
      <c r="O60" s="976">
        <f>'Infra Build BOQ'!AA61</f>
        <v>0</v>
      </c>
      <c r="P60" s="973">
        <f>'Infra Build BOQ'!AB61</f>
        <v>0</v>
      </c>
      <c r="Q60" s="974">
        <f>'Infra Build BOQ'!AC61</f>
        <v>0</v>
      </c>
      <c r="R60" s="975">
        <f>'Infra Build BOQ'!AD61</f>
        <v>0</v>
      </c>
      <c r="S60" s="976">
        <f>'Infra Build BOQ'!AE61</f>
        <v>0</v>
      </c>
      <c r="T60" s="973">
        <f>'Infra Build BOQ'!AF61</f>
        <v>0</v>
      </c>
      <c r="U60" s="974">
        <f>'Infra Build BOQ'!AG61</f>
        <v>0</v>
      </c>
      <c r="V60" s="975">
        <f>'Infra Build BOQ'!AH61</f>
        <v>0</v>
      </c>
      <c r="W60" s="976">
        <f>'Infra Build BOQ'!AI61</f>
        <v>0</v>
      </c>
      <c r="X60" s="974">
        <f>'Infra Build BOQ'!AJ61</f>
        <v>0</v>
      </c>
      <c r="Y60" s="975">
        <f>'Infra Build BOQ'!AK61</f>
        <v>0</v>
      </c>
      <c r="Z60" s="977">
        <f>'Infra Build BOQ'!AL61</f>
        <v>0</v>
      </c>
    </row>
    <row r="61" spans="2:26" s="296" customFormat="1">
      <c r="B61" s="952">
        <f>'Master BOQ Pricing_2018-01-08'!B62</f>
        <v>2.4300000000000002</v>
      </c>
      <c r="C61" s="953" t="str">
        <f>'Master BOQ Pricing_2018-01-08'!C62</f>
        <v xml:space="preserve">Supply and install concrete slab for duct protection (300mmx700mmx50mm or as otherwise specified) </v>
      </c>
      <c r="D61" s="954" t="str">
        <f>'Master BOQ Pricing_2018-01-08'!D62</f>
        <v>ea</v>
      </c>
      <c r="E61" s="955">
        <f>'Master BOQ Pricing_2018-01-08'!E62</f>
        <v>30.45</v>
      </c>
      <c r="F61" s="956">
        <f>'Infra Build BOQ'!F62</f>
        <v>0</v>
      </c>
      <c r="G61" s="957">
        <f>'Infra Build BOQ'!G62</f>
        <v>0</v>
      </c>
      <c r="H61" s="973">
        <f>'Infra Build BOQ'!T62</f>
        <v>0</v>
      </c>
      <c r="I61" s="974">
        <f>'Infra Build BOQ'!U62</f>
        <v>0</v>
      </c>
      <c r="J61" s="975">
        <f>'Infra Build BOQ'!V62</f>
        <v>0</v>
      </c>
      <c r="K61" s="976">
        <f>'Infra Build BOQ'!W62</f>
        <v>0</v>
      </c>
      <c r="L61" s="973">
        <f>'Infra Build BOQ'!X62</f>
        <v>0</v>
      </c>
      <c r="M61" s="974">
        <f>'Infra Build BOQ'!Y62</f>
        <v>0</v>
      </c>
      <c r="N61" s="975">
        <f>'Infra Build BOQ'!Z62</f>
        <v>0</v>
      </c>
      <c r="O61" s="976">
        <f>'Infra Build BOQ'!AA62</f>
        <v>0</v>
      </c>
      <c r="P61" s="973">
        <f>'Infra Build BOQ'!AB62</f>
        <v>0</v>
      </c>
      <c r="Q61" s="974">
        <f>'Infra Build BOQ'!AC62</f>
        <v>0</v>
      </c>
      <c r="R61" s="975">
        <f>'Infra Build BOQ'!AD62</f>
        <v>0</v>
      </c>
      <c r="S61" s="976">
        <f>'Infra Build BOQ'!AE62</f>
        <v>0</v>
      </c>
      <c r="T61" s="973">
        <f>'Infra Build BOQ'!AF62</f>
        <v>0</v>
      </c>
      <c r="U61" s="974">
        <f>'Infra Build BOQ'!AG62</f>
        <v>0</v>
      </c>
      <c r="V61" s="975">
        <f>'Infra Build BOQ'!AH62</f>
        <v>0</v>
      </c>
      <c r="W61" s="976">
        <f>'Infra Build BOQ'!AI62</f>
        <v>0</v>
      </c>
      <c r="X61" s="974">
        <f>'Infra Build BOQ'!AJ62</f>
        <v>0</v>
      </c>
      <c r="Y61" s="975">
        <f>'Infra Build BOQ'!AK62</f>
        <v>0</v>
      </c>
      <c r="Z61" s="977">
        <f>'Infra Build BOQ'!AL62</f>
        <v>0</v>
      </c>
    </row>
    <row r="62" spans="2:26" s="296" customFormat="1">
      <c r="B62" s="952">
        <f>'Master BOQ Pricing_2018-01-08'!B63</f>
        <v>2.44</v>
      </c>
      <c r="C62" s="953" t="str">
        <f>'Master BOQ Pricing_2018-01-08'!C63</f>
        <v>Supply and place city duct markers including painting with yellow road marking paint</v>
      </c>
      <c r="D62" s="954" t="str">
        <f>'Master BOQ Pricing_2018-01-08'!D63</f>
        <v>ea</v>
      </c>
      <c r="E62" s="955">
        <f>'Master BOQ Pricing_2018-01-08'!E63</f>
        <v>19.649999999999999</v>
      </c>
      <c r="F62" s="956">
        <f>'Infra Build BOQ'!F63</f>
        <v>0</v>
      </c>
      <c r="G62" s="957">
        <f>'Infra Build BOQ'!G63</f>
        <v>0</v>
      </c>
      <c r="H62" s="973">
        <f>'Infra Build BOQ'!T63</f>
        <v>0</v>
      </c>
      <c r="I62" s="974">
        <f>'Infra Build BOQ'!U63</f>
        <v>0</v>
      </c>
      <c r="J62" s="975">
        <f>'Infra Build BOQ'!V63</f>
        <v>0</v>
      </c>
      <c r="K62" s="976">
        <f>'Infra Build BOQ'!W63</f>
        <v>0</v>
      </c>
      <c r="L62" s="973">
        <f>'Infra Build BOQ'!X63</f>
        <v>0</v>
      </c>
      <c r="M62" s="974">
        <f>'Infra Build BOQ'!Y63</f>
        <v>0</v>
      </c>
      <c r="N62" s="975">
        <f>'Infra Build BOQ'!Z63</f>
        <v>0</v>
      </c>
      <c r="O62" s="976">
        <f>'Infra Build BOQ'!AA63</f>
        <v>0</v>
      </c>
      <c r="P62" s="973">
        <f>'Infra Build BOQ'!AB63</f>
        <v>0</v>
      </c>
      <c r="Q62" s="974">
        <f>'Infra Build BOQ'!AC63</f>
        <v>0</v>
      </c>
      <c r="R62" s="975">
        <f>'Infra Build BOQ'!AD63</f>
        <v>0</v>
      </c>
      <c r="S62" s="976">
        <f>'Infra Build BOQ'!AE63</f>
        <v>0</v>
      </c>
      <c r="T62" s="973">
        <f>'Infra Build BOQ'!AF63</f>
        <v>0</v>
      </c>
      <c r="U62" s="974">
        <f>'Infra Build BOQ'!AG63</f>
        <v>0</v>
      </c>
      <c r="V62" s="975">
        <f>'Infra Build BOQ'!AH63</f>
        <v>0</v>
      </c>
      <c r="W62" s="976">
        <f>'Infra Build BOQ'!AI63</f>
        <v>0</v>
      </c>
      <c r="X62" s="974">
        <f>'Infra Build BOQ'!AJ63</f>
        <v>0</v>
      </c>
      <c r="Y62" s="975">
        <f>'Infra Build BOQ'!AK63</f>
        <v>0</v>
      </c>
      <c r="Z62" s="977">
        <f>'Infra Build BOQ'!AL63</f>
        <v>0</v>
      </c>
    </row>
    <row r="63" spans="2:26" s="296" customFormat="1">
      <c r="B63" s="952">
        <f>'Master BOQ Pricing_2018-01-08'!B64</f>
        <v>2.4500000000000002</v>
      </c>
      <c r="C63" s="953" t="str">
        <f>'Master BOQ Pricing_2018-01-08'!C64</f>
        <v>DCP testing every 20m</v>
      </c>
      <c r="D63" s="954" t="str">
        <f>'Master BOQ Pricing_2018-01-08'!D64</f>
        <v>ea</v>
      </c>
      <c r="E63" s="955">
        <f>'Master BOQ Pricing_2018-01-08'!E64</f>
        <v>10</v>
      </c>
      <c r="F63" s="956">
        <f>'Infra Build BOQ'!F64</f>
        <v>0</v>
      </c>
      <c r="G63" s="957">
        <f>'Infra Build BOQ'!G64</f>
        <v>0</v>
      </c>
      <c r="H63" s="973">
        <f>'Infra Build BOQ'!T64</f>
        <v>0</v>
      </c>
      <c r="I63" s="974">
        <f>'Infra Build BOQ'!U64</f>
        <v>0</v>
      </c>
      <c r="J63" s="975">
        <f>'Infra Build BOQ'!V64</f>
        <v>0</v>
      </c>
      <c r="K63" s="976">
        <f>'Infra Build BOQ'!W64</f>
        <v>0</v>
      </c>
      <c r="L63" s="973">
        <f>'Infra Build BOQ'!X64</f>
        <v>0</v>
      </c>
      <c r="M63" s="974">
        <f>'Infra Build BOQ'!Y64</f>
        <v>0</v>
      </c>
      <c r="N63" s="975">
        <f>'Infra Build BOQ'!Z64</f>
        <v>0</v>
      </c>
      <c r="O63" s="976">
        <f>'Infra Build BOQ'!AA64</f>
        <v>0</v>
      </c>
      <c r="P63" s="973">
        <f>'Infra Build BOQ'!AB64</f>
        <v>0</v>
      </c>
      <c r="Q63" s="974">
        <f>'Infra Build BOQ'!AC64</f>
        <v>0</v>
      </c>
      <c r="R63" s="975">
        <f>'Infra Build BOQ'!AD64</f>
        <v>0</v>
      </c>
      <c r="S63" s="976">
        <f>'Infra Build BOQ'!AE64</f>
        <v>0</v>
      </c>
      <c r="T63" s="973">
        <f>'Infra Build BOQ'!AF64</f>
        <v>0</v>
      </c>
      <c r="U63" s="974">
        <f>'Infra Build BOQ'!AG64</f>
        <v>0</v>
      </c>
      <c r="V63" s="975">
        <f>'Infra Build BOQ'!AH64</f>
        <v>0</v>
      </c>
      <c r="W63" s="976">
        <f>'Infra Build BOQ'!AI64</f>
        <v>0</v>
      </c>
      <c r="X63" s="974">
        <f>'Infra Build BOQ'!AJ64</f>
        <v>0</v>
      </c>
      <c r="Y63" s="975">
        <f>'Infra Build BOQ'!AK64</f>
        <v>0</v>
      </c>
      <c r="Z63" s="977">
        <f>'Infra Build BOQ'!AL64</f>
        <v>0</v>
      </c>
    </row>
    <row r="64" spans="2:26" s="296" customFormat="1">
      <c r="B64" s="963">
        <f>'Master BOQ Pricing_2018-01-08'!B65</f>
        <v>3</v>
      </c>
      <c r="C64" s="964" t="str">
        <f>'Master BOQ Pricing_2018-01-08'!C65</f>
        <v>PIPES AND DUCTS</v>
      </c>
      <c r="D64" s="965"/>
      <c r="E64" s="966"/>
      <c r="F64" s="978"/>
      <c r="G64" s="979"/>
      <c r="H64" s="980"/>
      <c r="I64" s="981"/>
      <c r="J64" s="982"/>
      <c r="K64" s="983"/>
      <c r="L64" s="980"/>
      <c r="M64" s="981"/>
      <c r="N64" s="982"/>
      <c r="O64" s="983"/>
      <c r="P64" s="980"/>
      <c r="Q64" s="981"/>
      <c r="R64" s="982"/>
      <c r="S64" s="983"/>
      <c r="T64" s="980"/>
      <c r="U64" s="981"/>
      <c r="V64" s="982"/>
      <c r="W64" s="983"/>
      <c r="X64" s="981"/>
      <c r="Y64" s="982"/>
      <c r="Z64" s="984"/>
    </row>
    <row r="65" spans="2:26" s="296" customFormat="1">
      <c r="B65" s="952">
        <f>'Master BOQ Pricing_2018-01-08'!B66</f>
        <v>3.01</v>
      </c>
      <c r="C65" s="953" t="str">
        <f>'Master BOQ Pricing_2018-01-08'!C66</f>
        <v>Install 1 x 110mm HDPE pipe in open trench</v>
      </c>
      <c r="D65" s="954" t="str">
        <f>'Master BOQ Pricing_2018-01-08'!D66</f>
        <v>m</v>
      </c>
      <c r="E65" s="955">
        <f>'Master BOQ Pricing_2018-01-08'!E66</f>
        <v>3</v>
      </c>
      <c r="F65" s="956">
        <f>'Infra Build BOQ'!F66</f>
        <v>0</v>
      </c>
      <c r="G65" s="957">
        <f>'Infra Build BOQ'!G66</f>
        <v>0</v>
      </c>
      <c r="H65" s="973">
        <f>'Infra Build BOQ'!T66</f>
        <v>0</v>
      </c>
      <c r="I65" s="974">
        <f>'Infra Build BOQ'!U66</f>
        <v>0</v>
      </c>
      <c r="J65" s="975">
        <f>'Infra Build BOQ'!V66</f>
        <v>0</v>
      </c>
      <c r="K65" s="976">
        <f>'Infra Build BOQ'!W66</f>
        <v>0</v>
      </c>
      <c r="L65" s="973">
        <f>'Infra Build BOQ'!X66</f>
        <v>0</v>
      </c>
      <c r="M65" s="974">
        <f>'Infra Build BOQ'!Y66</f>
        <v>0</v>
      </c>
      <c r="N65" s="975">
        <f>'Infra Build BOQ'!Z66</f>
        <v>0</v>
      </c>
      <c r="O65" s="976">
        <f>'Infra Build BOQ'!AA66</f>
        <v>0</v>
      </c>
      <c r="P65" s="973">
        <f>'Infra Build BOQ'!AB66</f>
        <v>0</v>
      </c>
      <c r="Q65" s="974">
        <f>'Infra Build BOQ'!AC66</f>
        <v>0</v>
      </c>
      <c r="R65" s="975">
        <f>'Infra Build BOQ'!AD66</f>
        <v>0</v>
      </c>
      <c r="S65" s="976">
        <f>'Infra Build BOQ'!AE66</f>
        <v>0</v>
      </c>
      <c r="T65" s="973">
        <f>'Infra Build BOQ'!AF66</f>
        <v>0</v>
      </c>
      <c r="U65" s="974">
        <f>'Infra Build BOQ'!AG66</f>
        <v>0</v>
      </c>
      <c r="V65" s="975">
        <f>'Infra Build BOQ'!AH66</f>
        <v>0</v>
      </c>
      <c r="W65" s="976">
        <f>'Infra Build BOQ'!AI66</f>
        <v>0</v>
      </c>
      <c r="X65" s="974">
        <f>'Infra Build BOQ'!AJ66</f>
        <v>0</v>
      </c>
      <c r="Y65" s="975">
        <f>'Infra Build BOQ'!AK66</f>
        <v>0</v>
      </c>
      <c r="Z65" s="977">
        <f>'Infra Build BOQ'!AL66</f>
        <v>0</v>
      </c>
    </row>
    <row r="66" spans="2:26" s="296" customFormat="1">
      <c r="B66" s="952">
        <f>'Master BOQ Pricing_2018-01-08'!B67</f>
        <v>3.02</v>
      </c>
      <c r="C66" s="953" t="str">
        <f>'Master BOQ Pricing_2018-01-08'!C67</f>
        <v>Install 1 x 50mm/40mm Aggri pipe in open trench</v>
      </c>
      <c r="D66" s="954" t="str">
        <f>'Master BOQ Pricing_2018-01-08'!D67</f>
        <v>m</v>
      </c>
      <c r="E66" s="955">
        <f>'Master BOQ Pricing_2018-01-08'!E67</f>
        <v>3</v>
      </c>
      <c r="F66" s="956">
        <f>'Infra Build BOQ'!F67</f>
        <v>0</v>
      </c>
      <c r="G66" s="957">
        <f>'Infra Build BOQ'!G67</f>
        <v>0</v>
      </c>
      <c r="H66" s="973">
        <f>'Infra Build BOQ'!T67</f>
        <v>0</v>
      </c>
      <c r="I66" s="974">
        <f>'Infra Build BOQ'!U67</f>
        <v>0</v>
      </c>
      <c r="J66" s="975">
        <f>'Infra Build BOQ'!V67</f>
        <v>0</v>
      </c>
      <c r="K66" s="976">
        <f>'Infra Build BOQ'!W67</f>
        <v>0</v>
      </c>
      <c r="L66" s="973">
        <f>'Infra Build BOQ'!X67</f>
        <v>0</v>
      </c>
      <c r="M66" s="974">
        <f>'Infra Build BOQ'!Y67</f>
        <v>0</v>
      </c>
      <c r="N66" s="975">
        <f>'Infra Build BOQ'!Z67</f>
        <v>0</v>
      </c>
      <c r="O66" s="976">
        <f>'Infra Build BOQ'!AA67</f>
        <v>0</v>
      </c>
      <c r="P66" s="973">
        <f>'Infra Build BOQ'!AB67</f>
        <v>0</v>
      </c>
      <c r="Q66" s="974">
        <f>'Infra Build BOQ'!AC67</f>
        <v>0</v>
      </c>
      <c r="R66" s="975">
        <f>'Infra Build BOQ'!AD67</f>
        <v>0</v>
      </c>
      <c r="S66" s="976">
        <f>'Infra Build BOQ'!AE67</f>
        <v>0</v>
      </c>
      <c r="T66" s="973">
        <f>'Infra Build BOQ'!AF67</f>
        <v>0</v>
      </c>
      <c r="U66" s="974">
        <f>'Infra Build BOQ'!AG67</f>
        <v>0</v>
      </c>
      <c r="V66" s="975">
        <f>'Infra Build BOQ'!AH67</f>
        <v>0</v>
      </c>
      <c r="W66" s="976">
        <f>'Infra Build BOQ'!AI67</f>
        <v>0</v>
      </c>
      <c r="X66" s="974">
        <f>'Infra Build BOQ'!AJ67</f>
        <v>0</v>
      </c>
      <c r="Y66" s="975">
        <f>'Infra Build BOQ'!AK67</f>
        <v>0</v>
      </c>
      <c r="Z66" s="977">
        <f>'Infra Build BOQ'!AL67</f>
        <v>0</v>
      </c>
    </row>
    <row r="67" spans="2:26" s="296" customFormat="1">
      <c r="B67" s="952">
        <f>'Master BOQ Pricing_2018-01-08'!B68</f>
        <v>3.03</v>
      </c>
      <c r="C67" s="953" t="str">
        <f>'Master BOQ Pricing_2018-01-08'!C68</f>
        <v>Install 2 x 110mm HDPE pipe in open trench</v>
      </c>
      <c r="D67" s="954" t="str">
        <f>'Master BOQ Pricing_2018-01-08'!D68</f>
        <v>m</v>
      </c>
      <c r="E67" s="955">
        <f>'Master BOQ Pricing_2018-01-08'!E68</f>
        <v>6</v>
      </c>
      <c r="F67" s="956">
        <f>'Infra Build BOQ'!F68</f>
        <v>0</v>
      </c>
      <c r="G67" s="957">
        <f>'Infra Build BOQ'!G68</f>
        <v>0</v>
      </c>
      <c r="H67" s="973">
        <f>'Infra Build BOQ'!T68</f>
        <v>0</v>
      </c>
      <c r="I67" s="974">
        <f>'Infra Build BOQ'!U68</f>
        <v>0</v>
      </c>
      <c r="J67" s="975">
        <f>'Infra Build BOQ'!V68</f>
        <v>0</v>
      </c>
      <c r="K67" s="976">
        <f>'Infra Build BOQ'!W68</f>
        <v>0</v>
      </c>
      <c r="L67" s="973">
        <f>'Infra Build BOQ'!X68</f>
        <v>0</v>
      </c>
      <c r="M67" s="974">
        <f>'Infra Build BOQ'!Y68</f>
        <v>0</v>
      </c>
      <c r="N67" s="975">
        <f>'Infra Build BOQ'!Z68</f>
        <v>0</v>
      </c>
      <c r="O67" s="976">
        <f>'Infra Build BOQ'!AA68</f>
        <v>0</v>
      </c>
      <c r="P67" s="973">
        <f>'Infra Build BOQ'!AB68</f>
        <v>0</v>
      </c>
      <c r="Q67" s="974">
        <f>'Infra Build BOQ'!AC68</f>
        <v>0</v>
      </c>
      <c r="R67" s="975">
        <f>'Infra Build BOQ'!AD68</f>
        <v>0</v>
      </c>
      <c r="S67" s="976">
        <f>'Infra Build BOQ'!AE68</f>
        <v>0</v>
      </c>
      <c r="T67" s="973">
        <f>'Infra Build BOQ'!AF68</f>
        <v>0</v>
      </c>
      <c r="U67" s="974">
        <f>'Infra Build BOQ'!AG68</f>
        <v>0</v>
      </c>
      <c r="V67" s="975">
        <f>'Infra Build BOQ'!AH68</f>
        <v>0</v>
      </c>
      <c r="W67" s="976">
        <f>'Infra Build BOQ'!AI68</f>
        <v>0</v>
      </c>
      <c r="X67" s="974">
        <f>'Infra Build BOQ'!AJ68</f>
        <v>0</v>
      </c>
      <c r="Y67" s="975">
        <f>'Infra Build BOQ'!AK68</f>
        <v>0</v>
      </c>
      <c r="Z67" s="977">
        <f>'Infra Build BOQ'!AL68</f>
        <v>0</v>
      </c>
    </row>
    <row r="68" spans="2:26" s="525" customFormat="1">
      <c r="B68" s="952">
        <f>'Master BOQ Pricing_2018-01-08'!B69</f>
        <v>3.04</v>
      </c>
      <c r="C68" s="953" t="str">
        <f>'Master BOQ Pricing_2018-01-08'!C69</f>
        <v>Supply and install 110mm steel pipe in open trench</v>
      </c>
      <c r="D68" s="954" t="str">
        <f>'Master BOQ Pricing_2018-01-08'!D69</f>
        <v>m</v>
      </c>
      <c r="E68" s="955">
        <f>'Master BOQ Pricing_2018-01-08'!E69</f>
        <v>130</v>
      </c>
      <c r="F68" s="956">
        <f>'Infra Build BOQ'!F69</f>
        <v>0</v>
      </c>
      <c r="G68" s="957">
        <f>'Infra Build BOQ'!G69</f>
        <v>0</v>
      </c>
      <c r="H68" s="973">
        <f>'Infra Build BOQ'!T69</f>
        <v>0</v>
      </c>
      <c r="I68" s="974">
        <f>'Infra Build BOQ'!U69</f>
        <v>0</v>
      </c>
      <c r="J68" s="975">
        <f>'Infra Build BOQ'!V69</f>
        <v>0</v>
      </c>
      <c r="K68" s="976">
        <f>'Infra Build BOQ'!W69</f>
        <v>0</v>
      </c>
      <c r="L68" s="973">
        <f>'Infra Build BOQ'!X69</f>
        <v>0</v>
      </c>
      <c r="M68" s="974">
        <f>'Infra Build BOQ'!Y69</f>
        <v>0</v>
      </c>
      <c r="N68" s="975">
        <f>'Infra Build BOQ'!Z69</f>
        <v>0</v>
      </c>
      <c r="O68" s="976">
        <f>'Infra Build BOQ'!AA69</f>
        <v>0</v>
      </c>
      <c r="P68" s="973">
        <f>'Infra Build BOQ'!AB69</f>
        <v>0</v>
      </c>
      <c r="Q68" s="974">
        <f>'Infra Build BOQ'!AC69</f>
        <v>0</v>
      </c>
      <c r="R68" s="975">
        <f>'Infra Build BOQ'!AD69</f>
        <v>0</v>
      </c>
      <c r="S68" s="976">
        <f>'Infra Build BOQ'!AE69</f>
        <v>0</v>
      </c>
      <c r="T68" s="973">
        <f>'Infra Build BOQ'!AF69</f>
        <v>0</v>
      </c>
      <c r="U68" s="974">
        <f>'Infra Build BOQ'!AG69</f>
        <v>0</v>
      </c>
      <c r="V68" s="975">
        <f>'Infra Build BOQ'!AH69</f>
        <v>0</v>
      </c>
      <c r="W68" s="976">
        <f>'Infra Build BOQ'!AI69</f>
        <v>0</v>
      </c>
      <c r="X68" s="974">
        <f>'Infra Build BOQ'!AJ69</f>
        <v>0</v>
      </c>
      <c r="Y68" s="975">
        <f>'Infra Build BOQ'!AK69</f>
        <v>0</v>
      </c>
      <c r="Z68" s="977">
        <f>'Infra Build BOQ'!AL69</f>
        <v>0</v>
      </c>
    </row>
    <row r="69" spans="2:26" s="296" customFormat="1">
      <c r="B69" s="952">
        <f>'Master BOQ Pricing_2018-01-08'!B70</f>
        <v>3.05</v>
      </c>
      <c r="C69" s="953" t="str">
        <f>'Master BOQ Pricing_2018-01-08'!C70</f>
        <v>Install 1/2/4/7 way 12/10 micro-duct in existing duct (110mm duct/Bosal/PVC)</v>
      </c>
      <c r="D69" s="954" t="str">
        <f>'Master BOQ Pricing_2018-01-08'!D70</f>
        <v>m</v>
      </c>
      <c r="E69" s="955">
        <f>'Master BOQ Pricing_2018-01-08'!E70</f>
        <v>7.5</v>
      </c>
      <c r="F69" s="956">
        <f>'Infra Build BOQ'!F70</f>
        <v>0</v>
      </c>
      <c r="G69" s="957">
        <f>'Infra Build BOQ'!G70</f>
        <v>0</v>
      </c>
      <c r="H69" s="973">
        <f>'Infra Build BOQ'!T70</f>
        <v>0</v>
      </c>
      <c r="I69" s="974">
        <f>'Infra Build BOQ'!U70</f>
        <v>0</v>
      </c>
      <c r="J69" s="975">
        <f>'Infra Build BOQ'!V70</f>
        <v>0</v>
      </c>
      <c r="K69" s="976">
        <f>'Infra Build BOQ'!W70</f>
        <v>0</v>
      </c>
      <c r="L69" s="973">
        <f>'Infra Build BOQ'!X70</f>
        <v>0</v>
      </c>
      <c r="M69" s="974">
        <f>'Infra Build BOQ'!Y70</f>
        <v>0</v>
      </c>
      <c r="N69" s="975">
        <f>'Infra Build BOQ'!Z70</f>
        <v>0</v>
      </c>
      <c r="O69" s="976">
        <f>'Infra Build BOQ'!AA70</f>
        <v>0</v>
      </c>
      <c r="P69" s="973">
        <f>'Infra Build BOQ'!AB70</f>
        <v>0</v>
      </c>
      <c r="Q69" s="974">
        <f>'Infra Build BOQ'!AC70</f>
        <v>0</v>
      </c>
      <c r="R69" s="975">
        <f>'Infra Build BOQ'!AD70</f>
        <v>0</v>
      </c>
      <c r="S69" s="976">
        <f>'Infra Build BOQ'!AE70</f>
        <v>0</v>
      </c>
      <c r="T69" s="973">
        <f>'Infra Build BOQ'!AF70</f>
        <v>0</v>
      </c>
      <c r="U69" s="974">
        <f>'Infra Build BOQ'!AG70</f>
        <v>0</v>
      </c>
      <c r="V69" s="975">
        <f>'Infra Build BOQ'!AH70</f>
        <v>0</v>
      </c>
      <c r="W69" s="976">
        <f>'Infra Build BOQ'!AI70</f>
        <v>0</v>
      </c>
      <c r="X69" s="974">
        <f>'Infra Build BOQ'!AJ70</f>
        <v>0</v>
      </c>
      <c r="Y69" s="975">
        <f>'Infra Build BOQ'!AK70</f>
        <v>0</v>
      </c>
      <c r="Z69" s="977">
        <f>'Infra Build BOQ'!AL70</f>
        <v>0</v>
      </c>
    </row>
    <row r="70" spans="2:26" s="296" customFormat="1">
      <c r="B70" s="952">
        <f>'Master BOQ Pricing_2018-01-08'!B71</f>
        <v>3.06</v>
      </c>
      <c r="C70" s="953" t="str">
        <f>'Master BOQ Pricing_2018-01-08'!C71</f>
        <v>Install 1/2/4/7 way 12/10 micro-duct in open trench</v>
      </c>
      <c r="D70" s="954" t="str">
        <f>'Master BOQ Pricing_2018-01-08'!D71</f>
        <v>m</v>
      </c>
      <c r="E70" s="955">
        <f>'Master BOQ Pricing_2018-01-08'!E71</f>
        <v>3.64</v>
      </c>
      <c r="F70" s="956">
        <f>'Infra Build BOQ'!F71</f>
        <v>0</v>
      </c>
      <c r="G70" s="957">
        <f>'Infra Build BOQ'!G71</f>
        <v>0</v>
      </c>
      <c r="H70" s="973">
        <f>'Infra Build BOQ'!T71</f>
        <v>0</v>
      </c>
      <c r="I70" s="974">
        <f>'Infra Build BOQ'!U71</f>
        <v>0</v>
      </c>
      <c r="J70" s="975">
        <f>'Infra Build BOQ'!V71</f>
        <v>0</v>
      </c>
      <c r="K70" s="976">
        <f>'Infra Build BOQ'!W71</f>
        <v>0</v>
      </c>
      <c r="L70" s="973">
        <f>'Infra Build BOQ'!X71</f>
        <v>0</v>
      </c>
      <c r="M70" s="974">
        <f>'Infra Build BOQ'!Y71</f>
        <v>0</v>
      </c>
      <c r="N70" s="975">
        <f>'Infra Build BOQ'!Z71</f>
        <v>0</v>
      </c>
      <c r="O70" s="976">
        <f>'Infra Build BOQ'!AA71</f>
        <v>0</v>
      </c>
      <c r="P70" s="973">
        <f>'Infra Build BOQ'!AB71</f>
        <v>0</v>
      </c>
      <c r="Q70" s="974">
        <f>'Infra Build BOQ'!AC71</f>
        <v>0</v>
      </c>
      <c r="R70" s="975">
        <f>'Infra Build BOQ'!AD71</f>
        <v>0</v>
      </c>
      <c r="S70" s="976">
        <f>'Infra Build BOQ'!AE71</f>
        <v>0</v>
      </c>
      <c r="T70" s="973">
        <f>'Infra Build BOQ'!AF71</f>
        <v>0</v>
      </c>
      <c r="U70" s="974">
        <f>'Infra Build BOQ'!AG71</f>
        <v>0</v>
      </c>
      <c r="V70" s="975">
        <f>'Infra Build BOQ'!AH71</f>
        <v>0</v>
      </c>
      <c r="W70" s="976">
        <f>'Infra Build BOQ'!AI71</f>
        <v>0</v>
      </c>
      <c r="X70" s="974">
        <f>'Infra Build BOQ'!AJ71</f>
        <v>0</v>
      </c>
      <c r="Y70" s="975">
        <f>'Infra Build BOQ'!AK71</f>
        <v>0</v>
      </c>
      <c r="Z70" s="977">
        <f>'Infra Build BOQ'!AL71</f>
        <v>0</v>
      </c>
    </row>
    <row r="71" spans="2:26" s="296" customFormat="1">
      <c r="B71" s="963">
        <f>'Master BOQ Pricing_2018-01-08'!B74</f>
        <v>4</v>
      </c>
      <c r="C71" s="964" t="str">
        <f>'Master BOQ Pricing_2018-01-08'!C74</f>
        <v>BEDDING  PADDING AND BACKFILLING</v>
      </c>
      <c r="D71" s="965"/>
      <c r="E71" s="966"/>
      <c r="F71" s="978"/>
      <c r="G71" s="979"/>
      <c r="H71" s="980"/>
      <c r="I71" s="981"/>
      <c r="J71" s="982"/>
      <c r="K71" s="983"/>
      <c r="L71" s="980"/>
      <c r="M71" s="981"/>
      <c r="N71" s="982"/>
      <c r="O71" s="983"/>
      <c r="P71" s="980"/>
      <c r="Q71" s="981"/>
      <c r="R71" s="982"/>
      <c r="S71" s="983"/>
      <c r="T71" s="980"/>
      <c r="U71" s="981"/>
      <c r="V71" s="982"/>
      <c r="W71" s="983"/>
      <c r="X71" s="981"/>
      <c r="Y71" s="982"/>
      <c r="Z71" s="984"/>
    </row>
    <row r="72" spans="2:26" s="296" customFormat="1">
      <c r="B72" s="952">
        <f>'Master BOQ Pricing_2018-01-08'!B75</f>
        <v>4.01</v>
      </c>
      <c r="C72" s="953" t="str">
        <f>'Master BOQ Pricing_2018-01-08'!C75</f>
        <v xml:space="preserve">Supply and install bedding and padding </v>
      </c>
      <c r="D72" s="954" t="str">
        <f>'Master BOQ Pricing_2018-01-08'!D75</f>
        <v>m</v>
      </c>
      <c r="E72" s="955">
        <f>'Master BOQ Pricing_2018-01-08'!E75</f>
        <v>8</v>
      </c>
      <c r="F72" s="956">
        <f>'Infra Build BOQ'!F75</f>
        <v>0</v>
      </c>
      <c r="G72" s="957">
        <f>'Infra Build BOQ'!G75</f>
        <v>0</v>
      </c>
      <c r="H72" s="973">
        <f>'Infra Build BOQ'!T75</f>
        <v>0</v>
      </c>
      <c r="I72" s="974">
        <f>'Infra Build BOQ'!U75</f>
        <v>0</v>
      </c>
      <c r="J72" s="975">
        <f>'Infra Build BOQ'!V75</f>
        <v>0</v>
      </c>
      <c r="K72" s="976">
        <f>'Infra Build BOQ'!W75</f>
        <v>0</v>
      </c>
      <c r="L72" s="973">
        <f>'Infra Build BOQ'!X75</f>
        <v>0</v>
      </c>
      <c r="M72" s="974">
        <f>'Infra Build BOQ'!Y75</f>
        <v>0</v>
      </c>
      <c r="N72" s="975">
        <f>'Infra Build BOQ'!Z75</f>
        <v>0</v>
      </c>
      <c r="O72" s="976">
        <f>'Infra Build BOQ'!AA75</f>
        <v>0</v>
      </c>
      <c r="P72" s="973">
        <f>'Infra Build BOQ'!AB75</f>
        <v>0</v>
      </c>
      <c r="Q72" s="974">
        <f>'Infra Build BOQ'!AC75</f>
        <v>0</v>
      </c>
      <c r="R72" s="975">
        <f>'Infra Build BOQ'!AD75</f>
        <v>0</v>
      </c>
      <c r="S72" s="976">
        <f>'Infra Build BOQ'!AE75</f>
        <v>0</v>
      </c>
      <c r="T72" s="973">
        <f>'Infra Build BOQ'!AF75</f>
        <v>0</v>
      </c>
      <c r="U72" s="974">
        <f>'Infra Build BOQ'!AG75</f>
        <v>0</v>
      </c>
      <c r="V72" s="975">
        <f>'Infra Build BOQ'!AH75</f>
        <v>0</v>
      </c>
      <c r="W72" s="976">
        <f>'Infra Build BOQ'!AI75</f>
        <v>0</v>
      </c>
      <c r="X72" s="974">
        <f>'Infra Build BOQ'!AJ75</f>
        <v>0</v>
      </c>
      <c r="Y72" s="975">
        <f>'Infra Build BOQ'!AK75</f>
        <v>0</v>
      </c>
      <c r="Z72" s="977">
        <f>'Infra Build BOQ'!AL75</f>
        <v>0</v>
      </c>
    </row>
    <row r="73" spans="2:26" s="296" customFormat="1">
      <c r="B73" s="952">
        <f>'Master BOQ Pricing_2018-01-08'!B76</f>
        <v>4.0199999999999996</v>
      </c>
      <c r="C73" s="953" t="str">
        <f>'Master BOQ Pricing_2018-01-08'!C76</f>
        <v xml:space="preserve">Supply and install of import backfilling material </v>
      </c>
      <c r="D73" s="954" t="str">
        <f>'Master BOQ Pricing_2018-01-08'!D76</f>
        <v>m³</v>
      </c>
      <c r="E73" s="955">
        <f>'Master BOQ Pricing_2018-01-08'!E76</f>
        <v>264</v>
      </c>
      <c r="F73" s="956">
        <f>'Infra Build BOQ'!F76</f>
        <v>0</v>
      </c>
      <c r="G73" s="957">
        <f>'Infra Build BOQ'!G76</f>
        <v>0</v>
      </c>
      <c r="H73" s="973">
        <f>'Infra Build BOQ'!T76</f>
        <v>0</v>
      </c>
      <c r="I73" s="974">
        <f>'Infra Build BOQ'!U76</f>
        <v>0</v>
      </c>
      <c r="J73" s="975">
        <f>'Infra Build BOQ'!V76</f>
        <v>0</v>
      </c>
      <c r="K73" s="976">
        <f>'Infra Build BOQ'!W76</f>
        <v>0</v>
      </c>
      <c r="L73" s="973">
        <f>'Infra Build BOQ'!X76</f>
        <v>0</v>
      </c>
      <c r="M73" s="974">
        <f>'Infra Build BOQ'!Y76</f>
        <v>0</v>
      </c>
      <c r="N73" s="975">
        <f>'Infra Build BOQ'!Z76</f>
        <v>0</v>
      </c>
      <c r="O73" s="976">
        <f>'Infra Build BOQ'!AA76</f>
        <v>0</v>
      </c>
      <c r="P73" s="973">
        <f>'Infra Build BOQ'!AB76</f>
        <v>0</v>
      </c>
      <c r="Q73" s="974">
        <f>'Infra Build BOQ'!AC76</f>
        <v>0</v>
      </c>
      <c r="R73" s="975">
        <f>'Infra Build BOQ'!AD76</f>
        <v>0</v>
      </c>
      <c r="S73" s="976">
        <f>'Infra Build BOQ'!AE76</f>
        <v>0</v>
      </c>
      <c r="T73" s="973">
        <f>'Infra Build BOQ'!AF76</f>
        <v>0</v>
      </c>
      <c r="U73" s="974">
        <f>'Infra Build BOQ'!AG76</f>
        <v>0</v>
      </c>
      <c r="V73" s="975">
        <f>'Infra Build BOQ'!AH76</f>
        <v>0</v>
      </c>
      <c r="W73" s="976">
        <f>'Infra Build BOQ'!AI76</f>
        <v>0</v>
      </c>
      <c r="X73" s="974">
        <f>'Infra Build BOQ'!AJ76</f>
        <v>0</v>
      </c>
      <c r="Y73" s="975">
        <f>'Infra Build BOQ'!AK76</f>
        <v>0</v>
      </c>
      <c r="Z73" s="977">
        <f>'Infra Build BOQ'!AL76</f>
        <v>0</v>
      </c>
    </row>
    <row r="74" spans="2:26" s="296" customFormat="1">
      <c r="B74" s="952">
        <f>'Master BOQ Pricing_2018-01-08'!B77</f>
        <v>4.03</v>
      </c>
      <c r="C74" s="953" t="str">
        <f>'Master BOQ Pricing_2018-01-08'!C77</f>
        <v>Stabilizing backfilling material with cement (G2 Mix)</v>
      </c>
      <c r="D74" s="954" t="str">
        <f>'Master BOQ Pricing_2018-01-08'!D77</f>
        <v>m³</v>
      </c>
      <c r="E74" s="955">
        <f>'Master BOQ Pricing_2018-01-08'!E77</f>
        <v>180</v>
      </c>
      <c r="F74" s="956">
        <f>'Infra Build BOQ'!F77</f>
        <v>0</v>
      </c>
      <c r="G74" s="957">
        <f>'Infra Build BOQ'!G77</f>
        <v>0</v>
      </c>
      <c r="H74" s="973">
        <f>'Infra Build BOQ'!T77</f>
        <v>0</v>
      </c>
      <c r="I74" s="974">
        <f>'Infra Build BOQ'!U77</f>
        <v>0</v>
      </c>
      <c r="J74" s="975">
        <f>'Infra Build BOQ'!V77</f>
        <v>0</v>
      </c>
      <c r="K74" s="976">
        <f>'Infra Build BOQ'!W77</f>
        <v>0</v>
      </c>
      <c r="L74" s="973">
        <f>'Infra Build BOQ'!X77</f>
        <v>0</v>
      </c>
      <c r="M74" s="974">
        <f>'Infra Build BOQ'!Y77</f>
        <v>0</v>
      </c>
      <c r="N74" s="975">
        <f>'Infra Build BOQ'!Z77</f>
        <v>0</v>
      </c>
      <c r="O74" s="976">
        <f>'Infra Build BOQ'!AA77</f>
        <v>0</v>
      </c>
      <c r="P74" s="973">
        <f>'Infra Build BOQ'!AB77</f>
        <v>0</v>
      </c>
      <c r="Q74" s="974">
        <f>'Infra Build BOQ'!AC77</f>
        <v>0</v>
      </c>
      <c r="R74" s="975">
        <f>'Infra Build BOQ'!AD77</f>
        <v>0</v>
      </c>
      <c r="S74" s="976">
        <f>'Infra Build BOQ'!AE77</f>
        <v>0</v>
      </c>
      <c r="T74" s="973">
        <f>'Infra Build BOQ'!AF77</f>
        <v>0</v>
      </c>
      <c r="U74" s="974">
        <f>'Infra Build BOQ'!AG77</f>
        <v>0</v>
      </c>
      <c r="V74" s="975">
        <f>'Infra Build BOQ'!AH77</f>
        <v>0</v>
      </c>
      <c r="W74" s="976">
        <f>'Infra Build BOQ'!AI77</f>
        <v>0</v>
      </c>
      <c r="X74" s="974">
        <f>'Infra Build BOQ'!AJ77</f>
        <v>0</v>
      </c>
      <c r="Y74" s="975">
        <f>'Infra Build BOQ'!AK77</f>
        <v>0</v>
      </c>
      <c r="Z74" s="977">
        <f>'Infra Build BOQ'!AL77</f>
        <v>0</v>
      </c>
    </row>
    <row r="75" spans="2:26" s="296" customFormat="1">
      <c r="B75" s="952">
        <f>'Master BOQ Pricing_2018-01-08'!B78</f>
        <v>4.04</v>
      </c>
      <c r="C75" s="953" t="str">
        <f>'Master BOQ Pricing_2018-01-08'!C78</f>
        <v>Concrete encasement of pipes (labour and 20 mpa concrete) 300mm width x 220mm depth</v>
      </c>
      <c r="D75" s="954" t="str">
        <f>'Master BOQ Pricing_2018-01-08'!D78</f>
        <v>m</v>
      </c>
      <c r="E75" s="955">
        <f>'Master BOQ Pricing_2018-01-08'!E78</f>
        <v>122.95</v>
      </c>
      <c r="F75" s="956">
        <f>'Infra Build BOQ'!F78</f>
        <v>0</v>
      </c>
      <c r="G75" s="957">
        <f>'Infra Build BOQ'!G78</f>
        <v>0</v>
      </c>
      <c r="H75" s="973">
        <f>'Infra Build BOQ'!T78</f>
        <v>0</v>
      </c>
      <c r="I75" s="974">
        <f>'Infra Build BOQ'!U78</f>
        <v>0</v>
      </c>
      <c r="J75" s="975">
        <f>'Infra Build BOQ'!V78</f>
        <v>0</v>
      </c>
      <c r="K75" s="976">
        <f>'Infra Build BOQ'!W78</f>
        <v>0</v>
      </c>
      <c r="L75" s="973">
        <f>'Infra Build BOQ'!X78</f>
        <v>0</v>
      </c>
      <c r="M75" s="974">
        <f>'Infra Build BOQ'!Y78</f>
        <v>0</v>
      </c>
      <c r="N75" s="975">
        <f>'Infra Build BOQ'!Z78</f>
        <v>0</v>
      </c>
      <c r="O75" s="976">
        <f>'Infra Build BOQ'!AA78</f>
        <v>0</v>
      </c>
      <c r="P75" s="973">
        <f>'Infra Build BOQ'!AB78</f>
        <v>0</v>
      </c>
      <c r="Q75" s="974">
        <f>'Infra Build BOQ'!AC78</f>
        <v>0</v>
      </c>
      <c r="R75" s="975">
        <f>'Infra Build BOQ'!AD78</f>
        <v>0</v>
      </c>
      <c r="S75" s="976">
        <f>'Infra Build BOQ'!AE78</f>
        <v>0</v>
      </c>
      <c r="T75" s="973">
        <f>'Infra Build BOQ'!AF78</f>
        <v>0</v>
      </c>
      <c r="U75" s="974">
        <f>'Infra Build BOQ'!AG78</f>
        <v>0</v>
      </c>
      <c r="V75" s="975">
        <f>'Infra Build BOQ'!AH78</f>
        <v>0</v>
      </c>
      <c r="W75" s="976">
        <f>'Infra Build BOQ'!AI78</f>
        <v>0</v>
      </c>
      <c r="X75" s="974">
        <f>'Infra Build BOQ'!AJ78</f>
        <v>0</v>
      </c>
      <c r="Y75" s="975">
        <f>'Infra Build BOQ'!AK78</f>
        <v>0</v>
      </c>
      <c r="Z75" s="977">
        <f>'Infra Build BOQ'!AL78</f>
        <v>0</v>
      </c>
    </row>
    <row r="76" spans="2:26" s="296" customFormat="1">
      <c r="B76" s="952">
        <f>'Master BOQ Pricing_2018-01-08'!B79</f>
        <v>4.05</v>
      </c>
      <c r="C76" s="953" t="str">
        <f>'Master BOQ Pricing_2018-01-08'!C79</f>
        <v xml:space="preserve">Supply and install cast concrete slab for duct protection 300mm width x 100mm depth </v>
      </c>
      <c r="D76" s="954" t="str">
        <f>'Master BOQ Pricing_2018-01-08'!D79</f>
        <v>m</v>
      </c>
      <c r="E76" s="955">
        <f>'Master BOQ Pricing_2018-01-08'!E79</f>
        <v>70</v>
      </c>
      <c r="F76" s="956">
        <f>'Infra Build BOQ'!F79</f>
        <v>0</v>
      </c>
      <c r="G76" s="957">
        <f>'Infra Build BOQ'!G79</f>
        <v>0</v>
      </c>
      <c r="H76" s="973">
        <f>'Infra Build BOQ'!T79</f>
        <v>0</v>
      </c>
      <c r="I76" s="974">
        <f>'Infra Build BOQ'!U79</f>
        <v>0</v>
      </c>
      <c r="J76" s="975">
        <f>'Infra Build BOQ'!V79</f>
        <v>0</v>
      </c>
      <c r="K76" s="976">
        <f>'Infra Build BOQ'!W79</f>
        <v>0</v>
      </c>
      <c r="L76" s="973">
        <f>'Infra Build BOQ'!X79</f>
        <v>0</v>
      </c>
      <c r="M76" s="974">
        <f>'Infra Build BOQ'!Y79</f>
        <v>0</v>
      </c>
      <c r="N76" s="975">
        <f>'Infra Build BOQ'!Z79</f>
        <v>0</v>
      </c>
      <c r="O76" s="976">
        <f>'Infra Build BOQ'!AA79</f>
        <v>0</v>
      </c>
      <c r="P76" s="973">
        <f>'Infra Build BOQ'!AB79</f>
        <v>0</v>
      </c>
      <c r="Q76" s="974">
        <f>'Infra Build BOQ'!AC79</f>
        <v>0</v>
      </c>
      <c r="R76" s="975">
        <f>'Infra Build BOQ'!AD79</f>
        <v>0</v>
      </c>
      <c r="S76" s="976">
        <f>'Infra Build BOQ'!AE79</f>
        <v>0</v>
      </c>
      <c r="T76" s="973">
        <f>'Infra Build BOQ'!AF79</f>
        <v>0</v>
      </c>
      <c r="U76" s="974">
        <f>'Infra Build BOQ'!AG79</f>
        <v>0</v>
      </c>
      <c r="V76" s="975">
        <f>'Infra Build BOQ'!AH79</f>
        <v>0</v>
      </c>
      <c r="W76" s="976">
        <f>'Infra Build BOQ'!AI79</f>
        <v>0</v>
      </c>
      <c r="X76" s="974">
        <f>'Infra Build BOQ'!AJ79</f>
        <v>0</v>
      </c>
      <c r="Y76" s="975">
        <f>'Infra Build BOQ'!AK79</f>
        <v>0</v>
      </c>
      <c r="Z76" s="977">
        <f>'Infra Build BOQ'!AL79</f>
        <v>0</v>
      </c>
    </row>
    <row r="77" spans="2:26" s="296" customFormat="1">
      <c r="B77" s="952">
        <f>'Master BOQ Pricing_2018-01-08'!B80</f>
        <v>4.0599999999999996</v>
      </c>
      <c r="C77" s="953" t="str">
        <f>'Master BOQ Pricing_2018-01-08'!C80</f>
        <v>Concrete encasement of pipes (labour and 20 mpa concrete) 100mm width x 100mm depth</v>
      </c>
      <c r="D77" s="954" t="str">
        <f>'Master BOQ Pricing_2018-01-08'!D80</f>
        <v>m</v>
      </c>
      <c r="E77" s="955">
        <f>'Master BOQ Pricing_2018-01-08'!E80</f>
        <v>24.18</v>
      </c>
      <c r="F77" s="956">
        <f>'Infra Build BOQ'!F80</f>
        <v>0</v>
      </c>
      <c r="G77" s="957">
        <f>'Infra Build BOQ'!G80</f>
        <v>0</v>
      </c>
      <c r="H77" s="973">
        <f>'Infra Build BOQ'!T80</f>
        <v>0</v>
      </c>
      <c r="I77" s="974">
        <f>'Infra Build BOQ'!U80</f>
        <v>0</v>
      </c>
      <c r="J77" s="975">
        <f>'Infra Build BOQ'!V80</f>
        <v>0</v>
      </c>
      <c r="K77" s="976">
        <f>'Infra Build BOQ'!W80</f>
        <v>0</v>
      </c>
      <c r="L77" s="973">
        <f>'Infra Build BOQ'!X80</f>
        <v>0</v>
      </c>
      <c r="M77" s="974">
        <f>'Infra Build BOQ'!Y80</f>
        <v>0</v>
      </c>
      <c r="N77" s="975">
        <f>'Infra Build BOQ'!Z80</f>
        <v>0</v>
      </c>
      <c r="O77" s="976">
        <f>'Infra Build BOQ'!AA80</f>
        <v>0</v>
      </c>
      <c r="P77" s="973">
        <f>'Infra Build BOQ'!AB80</f>
        <v>0</v>
      </c>
      <c r="Q77" s="974">
        <f>'Infra Build BOQ'!AC80</f>
        <v>0</v>
      </c>
      <c r="R77" s="975">
        <f>'Infra Build BOQ'!AD80</f>
        <v>0</v>
      </c>
      <c r="S77" s="976">
        <f>'Infra Build BOQ'!AE80</f>
        <v>0</v>
      </c>
      <c r="T77" s="973">
        <f>'Infra Build BOQ'!AF80</f>
        <v>0</v>
      </c>
      <c r="U77" s="974">
        <f>'Infra Build BOQ'!AG80</f>
        <v>0</v>
      </c>
      <c r="V77" s="975">
        <f>'Infra Build BOQ'!AH80</f>
        <v>0</v>
      </c>
      <c r="W77" s="976">
        <f>'Infra Build BOQ'!AI80</f>
        <v>0</v>
      </c>
      <c r="X77" s="974">
        <f>'Infra Build BOQ'!AJ80</f>
        <v>0</v>
      </c>
      <c r="Y77" s="975">
        <f>'Infra Build BOQ'!AK80</f>
        <v>0</v>
      </c>
      <c r="Z77" s="977">
        <f>'Infra Build BOQ'!AL80</f>
        <v>0</v>
      </c>
    </row>
    <row r="78" spans="2:26" s="296" customFormat="1">
      <c r="B78" s="963">
        <f>'Master BOQ Pricing_2018-01-08'!B81</f>
        <v>5</v>
      </c>
      <c r="C78" s="964" t="str">
        <f>'Master BOQ Pricing_2018-01-08'!C81</f>
        <v>SURFACE RE-INSTATEMENTS</v>
      </c>
      <c r="D78" s="965"/>
      <c r="E78" s="966"/>
      <c r="F78" s="978"/>
      <c r="G78" s="979"/>
      <c r="H78" s="980"/>
      <c r="I78" s="981"/>
      <c r="J78" s="982"/>
      <c r="K78" s="983"/>
      <c r="L78" s="980"/>
      <c r="M78" s="981"/>
      <c r="N78" s="982"/>
      <c r="O78" s="983"/>
      <c r="P78" s="980"/>
      <c r="Q78" s="981"/>
      <c r="R78" s="982"/>
      <c r="S78" s="983"/>
      <c r="T78" s="980"/>
      <c r="U78" s="981"/>
      <c r="V78" s="982"/>
      <c r="W78" s="983"/>
      <c r="X78" s="981"/>
      <c r="Y78" s="982"/>
      <c r="Z78" s="984"/>
    </row>
    <row r="79" spans="2:26" s="296" customFormat="1">
      <c r="B79" s="952" t="str">
        <f>'Master BOQ Pricing_2018-01-08'!B83</f>
        <v>5,01,1</v>
      </c>
      <c r="C79" s="953" t="str">
        <f>'Master BOQ Pricing_2018-01-08'!C83</f>
        <v>ISP Trenching Capping</v>
      </c>
      <c r="D79" s="954" t="str">
        <f>'Master BOQ Pricing_2018-01-08'!D83</f>
        <v>m</v>
      </c>
      <c r="E79" s="955">
        <f>'Master BOQ Pricing_2018-01-08'!E83</f>
        <v>36.89</v>
      </c>
      <c r="F79" s="956">
        <f>'Infra Build BOQ'!F83</f>
        <v>0</v>
      </c>
      <c r="G79" s="957">
        <f>'Infra Build BOQ'!G83</f>
        <v>0</v>
      </c>
      <c r="H79" s="973">
        <f>'Infra Build BOQ'!T83</f>
        <v>0</v>
      </c>
      <c r="I79" s="974">
        <f>'Infra Build BOQ'!U83</f>
        <v>0</v>
      </c>
      <c r="J79" s="975">
        <f>'Infra Build BOQ'!V83</f>
        <v>0</v>
      </c>
      <c r="K79" s="985">
        <f>'Infra Build BOQ'!W83</f>
        <v>0</v>
      </c>
      <c r="L79" s="973">
        <f>'Infra Build BOQ'!X83</f>
        <v>0</v>
      </c>
      <c r="M79" s="974">
        <f>'Infra Build BOQ'!Y83</f>
        <v>0</v>
      </c>
      <c r="N79" s="975">
        <f>'Infra Build BOQ'!Z83</f>
        <v>0</v>
      </c>
      <c r="O79" s="985">
        <f>'Infra Build BOQ'!AA83</f>
        <v>0</v>
      </c>
      <c r="P79" s="973">
        <f>'Infra Build BOQ'!AB83</f>
        <v>0</v>
      </c>
      <c r="Q79" s="974">
        <f>'Infra Build BOQ'!AC83</f>
        <v>0</v>
      </c>
      <c r="R79" s="975">
        <f>'Infra Build BOQ'!AD83</f>
        <v>0</v>
      </c>
      <c r="S79" s="985">
        <f>'Infra Build BOQ'!AE83</f>
        <v>0</v>
      </c>
      <c r="T79" s="973">
        <f>'Infra Build BOQ'!AF83</f>
        <v>0</v>
      </c>
      <c r="U79" s="974">
        <f>'Infra Build BOQ'!AG83</f>
        <v>0</v>
      </c>
      <c r="V79" s="975">
        <f>'Infra Build BOQ'!AH83</f>
        <v>0</v>
      </c>
      <c r="W79" s="985">
        <f>'Infra Build BOQ'!AI83</f>
        <v>0</v>
      </c>
      <c r="X79" s="974">
        <f>'Infra Build BOQ'!AJ83</f>
        <v>0</v>
      </c>
      <c r="Y79" s="975">
        <f>'Infra Build BOQ'!AK83</f>
        <v>0</v>
      </c>
      <c r="Z79" s="977">
        <f>'Infra Build BOQ'!AL83</f>
        <v>0</v>
      </c>
    </row>
    <row r="80" spans="2:26" s="296" customFormat="1">
      <c r="B80" s="963">
        <f>'Master BOQ Pricing_2018-01-08'!B90</f>
        <v>6</v>
      </c>
      <c r="C80" s="964" t="str">
        <f>'Master BOQ Pricing_2018-01-08'!C90</f>
        <v>MANHOLES</v>
      </c>
      <c r="D80" s="965"/>
      <c r="E80" s="966"/>
      <c r="F80" s="978"/>
      <c r="G80" s="979"/>
      <c r="H80" s="980"/>
      <c r="I80" s="981"/>
      <c r="J80" s="982"/>
      <c r="K80" s="983"/>
      <c r="L80" s="980"/>
      <c r="M80" s="981"/>
      <c r="N80" s="982"/>
      <c r="O80" s="983"/>
      <c r="P80" s="980"/>
      <c r="Q80" s="981"/>
      <c r="R80" s="982"/>
      <c r="S80" s="983"/>
      <c r="T80" s="980"/>
      <c r="U80" s="981"/>
      <c r="V80" s="982"/>
      <c r="W80" s="983"/>
      <c r="X80" s="981"/>
      <c r="Y80" s="982"/>
      <c r="Z80" s="984"/>
    </row>
    <row r="81" spans="2:26" s="525" customFormat="1" ht="28.05" customHeight="1">
      <c r="B81" s="952">
        <f>'Master BOQ Pricing_2018-01-08'!B91</f>
        <v>6.01</v>
      </c>
      <c r="C81" s="953" t="str">
        <f>'Master BOQ Pricing_2018-01-08'!C91</f>
        <v>Supply and install small concrete precast manhole  including rings with knockouts and precast cover    (Internal dimensions 1000mm (diameter)x500mm (Depth)  with knockouts  wall thickness 65mm to 75mm)</v>
      </c>
      <c r="D81" s="954" t="str">
        <f>'Master BOQ Pricing_2018-01-08'!D91</f>
        <v>ea</v>
      </c>
      <c r="E81" s="955">
        <f>'Master BOQ Pricing_2018-01-08'!E91</f>
        <v>2287.6999999999998</v>
      </c>
      <c r="F81" s="956">
        <f>'Infra Build BOQ'!F91</f>
        <v>0</v>
      </c>
      <c r="G81" s="957">
        <f>'Infra Build BOQ'!G91</f>
        <v>0</v>
      </c>
      <c r="H81" s="973">
        <f>'Infra Build BOQ'!T91</f>
        <v>0</v>
      </c>
      <c r="I81" s="974">
        <f>'Infra Build BOQ'!U91</f>
        <v>0</v>
      </c>
      <c r="J81" s="975">
        <f>'Infra Build BOQ'!V91</f>
        <v>0</v>
      </c>
      <c r="K81" s="976">
        <f>'Infra Build BOQ'!W91</f>
        <v>0</v>
      </c>
      <c r="L81" s="973">
        <f>'Infra Build BOQ'!X91</f>
        <v>0</v>
      </c>
      <c r="M81" s="974">
        <f>'Infra Build BOQ'!Y91</f>
        <v>0</v>
      </c>
      <c r="N81" s="975">
        <f>'Infra Build BOQ'!Z91</f>
        <v>0</v>
      </c>
      <c r="O81" s="976">
        <f>'Infra Build BOQ'!AA91</f>
        <v>0</v>
      </c>
      <c r="P81" s="973">
        <f>'Infra Build BOQ'!AB91</f>
        <v>0</v>
      </c>
      <c r="Q81" s="974">
        <f>'Infra Build BOQ'!AC91</f>
        <v>0</v>
      </c>
      <c r="R81" s="975">
        <f>'Infra Build BOQ'!AD91</f>
        <v>0</v>
      </c>
      <c r="S81" s="976">
        <f>'Infra Build BOQ'!AE91</f>
        <v>0</v>
      </c>
      <c r="T81" s="973">
        <f>'Infra Build BOQ'!AF91</f>
        <v>0</v>
      </c>
      <c r="U81" s="974">
        <f>'Infra Build BOQ'!AG91</f>
        <v>0</v>
      </c>
      <c r="V81" s="975">
        <f>'Infra Build BOQ'!AH91</f>
        <v>0</v>
      </c>
      <c r="W81" s="976">
        <f>'Infra Build BOQ'!AI91</f>
        <v>0</v>
      </c>
      <c r="X81" s="974">
        <f>'Infra Build BOQ'!AJ91</f>
        <v>0</v>
      </c>
      <c r="Y81" s="975">
        <f>'Infra Build BOQ'!AK91</f>
        <v>0</v>
      </c>
      <c r="Z81" s="977">
        <f>'Infra Build BOQ'!AL91</f>
        <v>0</v>
      </c>
    </row>
    <row r="82" spans="2:26" s="525" customFormat="1" ht="28.05" customHeight="1">
      <c r="B82" s="952">
        <f>'Master BOQ Pricing_2018-01-08'!B92</f>
        <v>6.02</v>
      </c>
      <c r="C82" s="953" t="str">
        <f>'Master BOQ Pricing_2018-01-08'!C92</f>
        <v>Install large concrete precast manhole  including rings with knockouts and precast cover (Internal dimensions 1000mm (diameter)x1000mm (Depth)  with knockouts  wall thickness 65mm to 75mm)</v>
      </c>
      <c r="D82" s="954" t="str">
        <f>'Master BOQ Pricing_2018-01-08'!D92</f>
        <v>ea</v>
      </c>
      <c r="E82" s="955">
        <f>'Master BOQ Pricing_2018-01-08'!E92</f>
        <v>1452.57</v>
      </c>
      <c r="F82" s="956">
        <f>'Infra Build BOQ'!F92</f>
        <v>0</v>
      </c>
      <c r="G82" s="957">
        <f>'Infra Build BOQ'!G92</f>
        <v>0</v>
      </c>
      <c r="H82" s="973">
        <f>'Infra Build BOQ'!T92</f>
        <v>0</v>
      </c>
      <c r="I82" s="974">
        <f>'Infra Build BOQ'!U92</f>
        <v>0</v>
      </c>
      <c r="J82" s="975">
        <f>'Infra Build BOQ'!V92</f>
        <v>0</v>
      </c>
      <c r="K82" s="976">
        <f>'Infra Build BOQ'!W92</f>
        <v>0</v>
      </c>
      <c r="L82" s="973">
        <f>'Infra Build BOQ'!X92</f>
        <v>0</v>
      </c>
      <c r="M82" s="974">
        <f>'Infra Build BOQ'!Y92</f>
        <v>0</v>
      </c>
      <c r="N82" s="975">
        <f>'Infra Build BOQ'!Z92</f>
        <v>0</v>
      </c>
      <c r="O82" s="976">
        <f>'Infra Build BOQ'!AA92</f>
        <v>0</v>
      </c>
      <c r="P82" s="973">
        <f>'Infra Build BOQ'!AB92</f>
        <v>0</v>
      </c>
      <c r="Q82" s="974">
        <f>'Infra Build BOQ'!AC92</f>
        <v>0</v>
      </c>
      <c r="R82" s="975">
        <f>'Infra Build BOQ'!AD92</f>
        <v>0</v>
      </c>
      <c r="S82" s="976">
        <f>'Infra Build BOQ'!AE92</f>
        <v>0</v>
      </c>
      <c r="T82" s="973">
        <f>'Infra Build BOQ'!AF92</f>
        <v>0</v>
      </c>
      <c r="U82" s="974">
        <f>'Infra Build BOQ'!AG92</f>
        <v>0</v>
      </c>
      <c r="V82" s="975">
        <f>'Infra Build BOQ'!AH92</f>
        <v>0</v>
      </c>
      <c r="W82" s="976">
        <f>'Infra Build BOQ'!AI92</f>
        <v>0</v>
      </c>
      <c r="X82" s="974">
        <f>'Infra Build BOQ'!AJ92</f>
        <v>0</v>
      </c>
      <c r="Y82" s="975">
        <f>'Infra Build BOQ'!AK92</f>
        <v>0</v>
      </c>
      <c r="Z82" s="977">
        <f>'Infra Build BOQ'!AL92</f>
        <v>0</v>
      </c>
    </row>
    <row r="83" spans="2:26" s="525" customFormat="1" ht="28.05" customHeight="1">
      <c r="B83" s="952">
        <f>'Master BOQ Pricing_2018-01-08'!B93</f>
        <v>6.03</v>
      </c>
      <c r="C83" s="953" t="str">
        <f>'Master BOQ Pricing_2018-01-08'!C93</f>
        <v>Install small concrete precast manhole  including rings with knockouts and precast cover (Internal dimensions 1000mm (diameter)x500mm (Depth)  with knockouts  wall thickness 65mm to 75mm)</v>
      </c>
      <c r="D83" s="954" t="str">
        <f>'Master BOQ Pricing_2018-01-08'!D93</f>
        <v>ea</v>
      </c>
      <c r="E83" s="955">
        <f>'Master BOQ Pricing_2018-01-08'!E93</f>
        <v>1187.7</v>
      </c>
      <c r="F83" s="956">
        <f>'Infra Build BOQ'!F93</f>
        <v>0</v>
      </c>
      <c r="G83" s="957">
        <f>'Infra Build BOQ'!G93</f>
        <v>0</v>
      </c>
      <c r="H83" s="973">
        <f>'Infra Build BOQ'!T93</f>
        <v>0</v>
      </c>
      <c r="I83" s="974">
        <f>'Infra Build BOQ'!U93</f>
        <v>0</v>
      </c>
      <c r="J83" s="975">
        <f>'Infra Build BOQ'!V93</f>
        <v>0</v>
      </c>
      <c r="K83" s="976">
        <f>'Infra Build BOQ'!W93</f>
        <v>0</v>
      </c>
      <c r="L83" s="973">
        <f>'Infra Build BOQ'!X93</f>
        <v>0</v>
      </c>
      <c r="M83" s="974">
        <f>'Infra Build BOQ'!Y93</f>
        <v>0</v>
      </c>
      <c r="N83" s="975">
        <f>'Infra Build BOQ'!Z93</f>
        <v>0</v>
      </c>
      <c r="O83" s="976">
        <f>'Infra Build BOQ'!AA93</f>
        <v>0</v>
      </c>
      <c r="P83" s="973">
        <f>'Infra Build BOQ'!AB93</f>
        <v>0</v>
      </c>
      <c r="Q83" s="974">
        <f>'Infra Build BOQ'!AC93</f>
        <v>0</v>
      </c>
      <c r="R83" s="975">
        <f>'Infra Build BOQ'!AD93</f>
        <v>0</v>
      </c>
      <c r="S83" s="976">
        <f>'Infra Build BOQ'!AE93</f>
        <v>0</v>
      </c>
      <c r="T83" s="973">
        <f>'Infra Build BOQ'!AF93</f>
        <v>0</v>
      </c>
      <c r="U83" s="974">
        <f>'Infra Build BOQ'!AG93</f>
        <v>0</v>
      </c>
      <c r="V83" s="975">
        <f>'Infra Build BOQ'!AH93</f>
        <v>0</v>
      </c>
      <c r="W83" s="976">
        <f>'Infra Build BOQ'!AI93</f>
        <v>0</v>
      </c>
      <c r="X83" s="974">
        <f>'Infra Build BOQ'!AJ93</f>
        <v>0</v>
      </c>
      <c r="Y83" s="975">
        <f>'Infra Build BOQ'!AK93</f>
        <v>0</v>
      </c>
      <c r="Z83" s="977">
        <f>'Infra Build BOQ'!AL93</f>
        <v>0</v>
      </c>
    </row>
    <row r="84" spans="2:26" s="525" customFormat="1" ht="28.05" customHeight="1">
      <c r="B84" s="952" t="str">
        <f>'Master BOQ Pricing_2018-01-08'!B94</f>
        <v>6,03,1</v>
      </c>
      <c r="C84" s="953" t="str">
        <f>'Master BOQ Pricing_2018-01-08'!C94</f>
        <v>Reposition or Install small concrete precast manhole  including rings with knockouts and precast cover (Internal dimensions 1000mm (diameter)x500mm (Depth)  with knockouts  wall thickness 65mm to 75mm)</v>
      </c>
      <c r="D84" s="954" t="str">
        <f>'Master BOQ Pricing_2018-01-08'!D94</f>
        <v>ea</v>
      </c>
      <c r="E84" s="955">
        <f>'Master BOQ Pricing_2018-01-08'!E94</f>
        <v>1187.7</v>
      </c>
      <c r="F84" s="956">
        <f>'Infra Build BOQ'!F94</f>
        <v>0</v>
      </c>
      <c r="G84" s="957">
        <f>'Infra Build BOQ'!G94</f>
        <v>0</v>
      </c>
      <c r="H84" s="973">
        <f>'Infra Build BOQ'!T94</f>
        <v>0</v>
      </c>
      <c r="I84" s="974">
        <f>'Infra Build BOQ'!U94</f>
        <v>0</v>
      </c>
      <c r="J84" s="975">
        <f>'Infra Build BOQ'!V94</f>
        <v>0</v>
      </c>
      <c r="K84" s="976">
        <f>'Infra Build BOQ'!W94</f>
        <v>0</v>
      </c>
      <c r="L84" s="973">
        <f>'Infra Build BOQ'!X94</f>
        <v>0</v>
      </c>
      <c r="M84" s="974">
        <f>'Infra Build BOQ'!Y94</f>
        <v>0</v>
      </c>
      <c r="N84" s="975">
        <f>'Infra Build BOQ'!Z94</f>
        <v>0</v>
      </c>
      <c r="O84" s="976">
        <f>'Infra Build BOQ'!AA94</f>
        <v>0</v>
      </c>
      <c r="P84" s="973">
        <f>'Infra Build BOQ'!AB94</f>
        <v>0</v>
      </c>
      <c r="Q84" s="974">
        <f>'Infra Build BOQ'!AC94</f>
        <v>0</v>
      </c>
      <c r="R84" s="975">
        <f>'Infra Build BOQ'!AD94</f>
        <v>0</v>
      </c>
      <c r="S84" s="976">
        <f>'Infra Build BOQ'!AE94</f>
        <v>0</v>
      </c>
      <c r="T84" s="973">
        <f>'Infra Build BOQ'!AF94</f>
        <v>0</v>
      </c>
      <c r="U84" s="974">
        <f>'Infra Build BOQ'!AG94</f>
        <v>0</v>
      </c>
      <c r="V84" s="975">
        <f>'Infra Build BOQ'!AH94</f>
        <v>0</v>
      </c>
      <c r="W84" s="976">
        <f>'Infra Build BOQ'!AI94</f>
        <v>0</v>
      </c>
      <c r="X84" s="974">
        <f>'Infra Build BOQ'!AJ94</f>
        <v>0</v>
      </c>
      <c r="Y84" s="975">
        <f>'Infra Build BOQ'!AK94</f>
        <v>0</v>
      </c>
      <c r="Z84" s="977">
        <f>'Infra Build BOQ'!AL94</f>
        <v>0</v>
      </c>
    </row>
    <row r="85" spans="2:26" s="525" customFormat="1" ht="28.05" customHeight="1">
      <c r="B85" s="952">
        <f>'Master BOQ Pricing_2018-01-08'!B95</f>
        <v>6.04</v>
      </c>
      <c r="C85" s="953" t="str">
        <f>'Master BOQ Pricing_2018-01-08'!C95</f>
        <v>Supply and install large concrete precast manhole including rings with knockouts and precast cover (Internal diameter 1000mm x 1000mm depth  wall thickness 65mm to 75mm)</v>
      </c>
      <c r="D85" s="954" t="str">
        <f>'Master BOQ Pricing_2018-01-08'!D95</f>
        <v>ea</v>
      </c>
      <c r="E85" s="955">
        <f>'Master BOQ Pricing_2018-01-08'!E95</f>
        <v>3120</v>
      </c>
      <c r="F85" s="956">
        <f>'Infra Build BOQ'!F95</f>
        <v>0</v>
      </c>
      <c r="G85" s="957">
        <f>'Infra Build BOQ'!G95</f>
        <v>0</v>
      </c>
      <c r="H85" s="973">
        <f>'Infra Build BOQ'!T95</f>
        <v>0</v>
      </c>
      <c r="I85" s="974">
        <f>'Infra Build BOQ'!U95</f>
        <v>0</v>
      </c>
      <c r="J85" s="975">
        <f>'Infra Build BOQ'!V95</f>
        <v>0</v>
      </c>
      <c r="K85" s="976">
        <f>'Infra Build BOQ'!W95</f>
        <v>0</v>
      </c>
      <c r="L85" s="973">
        <f>'Infra Build BOQ'!X95</f>
        <v>0</v>
      </c>
      <c r="M85" s="974">
        <f>'Infra Build BOQ'!Y95</f>
        <v>0</v>
      </c>
      <c r="N85" s="975">
        <f>'Infra Build BOQ'!Z95</f>
        <v>0</v>
      </c>
      <c r="O85" s="976">
        <f>'Infra Build BOQ'!AA95</f>
        <v>0</v>
      </c>
      <c r="P85" s="973">
        <f>'Infra Build BOQ'!AB95</f>
        <v>0</v>
      </c>
      <c r="Q85" s="974">
        <f>'Infra Build BOQ'!AC95</f>
        <v>0</v>
      </c>
      <c r="R85" s="975">
        <f>'Infra Build BOQ'!AD95</f>
        <v>0</v>
      </c>
      <c r="S85" s="976">
        <f>'Infra Build BOQ'!AE95</f>
        <v>0</v>
      </c>
      <c r="T85" s="973">
        <f>'Infra Build BOQ'!AF95</f>
        <v>0</v>
      </c>
      <c r="U85" s="974">
        <f>'Infra Build BOQ'!AG95</f>
        <v>0</v>
      </c>
      <c r="V85" s="975">
        <f>'Infra Build BOQ'!AH95</f>
        <v>0</v>
      </c>
      <c r="W85" s="976">
        <f>'Infra Build BOQ'!AI95</f>
        <v>0</v>
      </c>
      <c r="X85" s="974">
        <f>'Infra Build BOQ'!AJ95</f>
        <v>0</v>
      </c>
      <c r="Y85" s="975">
        <f>'Infra Build BOQ'!AK95</f>
        <v>0</v>
      </c>
      <c r="Z85" s="977">
        <f>'Infra Build BOQ'!AL95</f>
        <v>0</v>
      </c>
    </row>
    <row r="86" spans="2:26" s="163" customFormat="1">
      <c r="B86" s="952">
        <f>'Master BOQ Pricing_2018-01-08'!B96</f>
        <v>6.05</v>
      </c>
      <c r="C86" s="953" t="str">
        <f>'Master BOQ Pricing_2018-01-08'!C96</f>
        <v>Install precast concrete flatpack manhole (605mm x 545mm x 700 mm)</v>
      </c>
      <c r="D86" s="954" t="str">
        <f>'Master BOQ Pricing_2018-01-08'!D96</f>
        <v>ea</v>
      </c>
      <c r="E86" s="955">
        <f>'Master BOQ Pricing_2018-01-08'!E96</f>
        <v>545.45000000000005</v>
      </c>
      <c r="F86" s="956">
        <f>'Infra Build BOQ'!F96</f>
        <v>0</v>
      </c>
      <c r="G86" s="957">
        <f>'Infra Build BOQ'!G96</f>
        <v>0</v>
      </c>
      <c r="H86" s="973">
        <f>'Infra Build BOQ'!T96</f>
        <v>0</v>
      </c>
      <c r="I86" s="974">
        <f>'Infra Build BOQ'!U96</f>
        <v>0</v>
      </c>
      <c r="J86" s="975">
        <f>'Infra Build BOQ'!V96</f>
        <v>0</v>
      </c>
      <c r="K86" s="976">
        <f>'Infra Build BOQ'!W96</f>
        <v>0</v>
      </c>
      <c r="L86" s="973">
        <f>'Infra Build BOQ'!X96</f>
        <v>0</v>
      </c>
      <c r="M86" s="974">
        <f>'Infra Build BOQ'!Y96</f>
        <v>0</v>
      </c>
      <c r="N86" s="975">
        <f>'Infra Build BOQ'!Z96</f>
        <v>0</v>
      </c>
      <c r="O86" s="976">
        <f>'Infra Build BOQ'!AA96</f>
        <v>0</v>
      </c>
      <c r="P86" s="973">
        <f>'Infra Build BOQ'!AB96</f>
        <v>0</v>
      </c>
      <c r="Q86" s="974">
        <f>'Infra Build BOQ'!AC96</f>
        <v>0</v>
      </c>
      <c r="R86" s="975">
        <f>'Infra Build BOQ'!AD96</f>
        <v>0</v>
      </c>
      <c r="S86" s="976">
        <f>'Infra Build BOQ'!AE96</f>
        <v>0</v>
      </c>
      <c r="T86" s="973">
        <f>'Infra Build BOQ'!AF96</f>
        <v>0</v>
      </c>
      <c r="U86" s="974">
        <f>'Infra Build BOQ'!AG96</f>
        <v>0</v>
      </c>
      <c r="V86" s="975">
        <f>'Infra Build BOQ'!AH96</f>
        <v>0</v>
      </c>
      <c r="W86" s="976">
        <f>'Infra Build BOQ'!AI96</f>
        <v>0</v>
      </c>
      <c r="X86" s="974">
        <f>'Infra Build BOQ'!AJ96</f>
        <v>0</v>
      </c>
      <c r="Y86" s="975">
        <f>'Infra Build BOQ'!AK96</f>
        <v>0</v>
      </c>
      <c r="Z86" s="977">
        <f>'Infra Build BOQ'!AL96</f>
        <v>0</v>
      </c>
    </row>
    <row r="87" spans="2:26" s="163" customFormat="1" ht="28.05" customHeight="1">
      <c r="B87" s="952">
        <f>'Master BOQ Pricing_2018-01-08'!B97</f>
        <v>6.06</v>
      </c>
      <c r="C87" s="953" t="str">
        <f>'Master BOQ Pricing_2018-01-08'!C97</f>
        <v>Construct single skin clay brick and mortar manhole including cover slab  (600mm length x 600mm width x 600mm depth - inside dimensions)</v>
      </c>
      <c r="D87" s="954" t="str">
        <f>'Master BOQ Pricing_2018-01-08'!D97</f>
        <v>ea</v>
      </c>
      <c r="E87" s="955">
        <f>'Master BOQ Pricing_2018-01-08'!E97</f>
        <v>1383.32</v>
      </c>
      <c r="F87" s="956">
        <f>'Infra Build BOQ'!F97</f>
        <v>0</v>
      </c>
      <c r="G87" s="957">
        <f>'Infra Build BOQ'!G97</f>
        <v>0</v>
      </c>
      <c r="H87" s="973">
        <f>'Infra Build BOQ'!T97</f>
        <v>0</v>
      </c>
      <c r="I87" s="974">
        <f>'Infra Build BOQ'!U97</f>
        <v>0</v>
      </c>
      <c r="J87" s="975">
        <f>'Infra Build BOQ'!V97</f>
        <v>0</v>
      </c>
      <c r="K87" s="976">
        <f>'Infra Build BOQ'!W97</f>
        <v>0</v>
      </c>
      <c r="L87" s="973">
        <f>'Infra Build BOQ'!X97</f>
        <v>0</v>
      </c>
      <c r="M87" s="974">
        <f>'Infra Build BOQ'!Y97</f>
        <v>0</v>
      </c>
      <c r="N87" s="975">
        <f>'Infra Build BOQ'!Z97</f>
        <v>0</v>
      </c>
      <c r="O87" s="976">
        <f>'Infra Build BOQ'!AA97</f>
        <v>0</v>
      </c>
      <c r="P87" s="973">
        <f>'Infra Build BOQ'!AB97</f>
        <v>0</v>
      </c>
      <c r="Q87" s="974">
        <f>'Infra Build BOQ'!AC97</f>
        <v>0</v>
      </c>
      <c r="R87" s="975">
        <f>'Infra Build BOQ'!AD97</f>
        <v>0</v>
      </c>
      <c r="S87" s="976">
        <f>'Infra Build BOQ'!AE97</f>
        <v>0</v>
      </c>
      <c r="T87" s="973">
        <f>'Infra Build BOQ'!AF97</f>
        <v>0</v>
      </c>
      <c r="U87" s="974">
        <f>'Infra Build BOQ'!AG97</f>
        <v>0</v>
      </c>
      <c r="V87" s="975">
        <f>'Infra Build BOQ'!AH97</f>
        <v>0</v>
      </c>
      <c r="W87" s="976">
        <f>'Infra Build BOQ'!AI97</f>
        <v>0</v>
      </c>
      <c r="X87" s="974">
        <f>'Infra Build BOQ'!AJ97</f>
        <v>0</v>
      </c>
      <c r="Y87" s="975">
        <f>'Infra Build BOQ'!AK97</f>
        <v>0</v>
      </c>
      <c r="Z87" s="977">
        <f>'Infra Build BOQ'!AL97</f>
        <v>0</v>
      </c>
    </row>
    <row r="88" spans="2:26" s="163" customFormat="1" ht="28.05" customHeight="1">
      <c r="B88" s="952">
        <f>'Master BOQ Pricing_2018-01-08'!B98</f>
        <v>6.07</v>
      </c>
      <c r="C88" s="953" t="str">
        <f>'Master BOQ Pricing_2018-01-08'!C98</f>
        <v>Construct double skin clay brick and mortar manhole including frame and cover (1000mm length x 1000mm width x 1000mm depth - inside dimensions)</v>
      </c>
      <c r="D88" s="954" t="str">
        <f>'Master BOQ Pricing_2018-01-08'!D98</f>
        <v>ea</v>
      </c>
      <c r="E88" s="955">
        <f>'Master BOQ Pricing_2018-01-08'!E98</f>
        <v>4286</v>
      </c>
      <c r="F88" s="956">
        <f>'Infra Build BOQ'!F98</f>
        <v>0</v>
      </c>
      <c r="G88" s="957">
        <f>'Infra Build BOQ'!G98</f>
        <v>0</v>
      </c>
      <c r="H88" s="973">
        <f>'Infra Build BOQ'!T98</f>
        <v>0</v>
      </c>
      <c r="I88" s="974">
        <f>'Infra Build BOQ'!U98</f>
        <v>0</v>
      </c>
      <c r="J88" s="975">
        <f>'Infra Build BOQ'!V98</f>
        <v>0</v>
      </c>
      <c r="K88" s="976">
        <f>'Infra Build BOQ'!W98</f>
        <v>0</v>
      </c>
      <c r="L88" s="973">
        <f>'Infra Build BOQ'!X98</f>
        <v>0</v>
      </c>
      <c r="M88" s="974">
        <f>'Infra Build BOQ'!Y98</f>
        <v>0</v>
      </c>
      <c r="N88" s="975">
        <f>'Infra Build BOQ'!Z98</f>
        <v>0</v>
      </c>
      <c r="O88" s="976">
        <f>'Infra Build BOQ'!AA98</f>
        <v>0</v>
      </c>
      <c r="P88" s="973">
        <f>'Infra Build BOQ'!AB98</f>
        <v>0</v>
      </c>
      <c r="Q88" s="974">
        <f>'Infra Build BOQ'!AC98</f>
        <v>0</v>
      </c>
      <c r="R88" s="975">
        <f>'Infra Build BOQ'!AD98</f>
        <v>0</v>
      </c>
      <c r="S88" s="976">
        <f>'Infra Build BOQ'!AE98</f>
        <v>0</v>
      </c>
      <c r="T88" s="973">
        <f>'Infra Build BOQ'!AF98</f>
        <v>0</v>
      </c>
      <c r="U88" s="974">
        <f>'Infra Build BOQ'!AG98</f>
        <v>0</v>
      </c>
      <c r="V88" s="975">
        <f>'Infra Build BOQ'!AH98</f>
        <v>0</v>
      </c>
      <c r="W88" s="976">
        <f>'Infra Build BOQ'!AI98</f>
        <v>0</v>
      </c>
      <c r="X88" s="974">
        <f>'Infra Build BOQ'!AJ98</f>
        <v>0</v>
      </c>
      <c r="Y88" s="975">
        <f>'Infra Build BOQ'!AK98</f>
        <v>0</v>
      </c>
      <c r="Z88" s="977">
        <f>'Infra Build BOQ'!AL98</f>
        <v>0</v>
      </c>
    </row>
    <row r="89" spans="2:26" s="163" customFormat="1">
      <c r="B89" s="952">
        <f>'Master BOQ Pricing_2018-01-08'!B99</f>
        <v>6.08</v>
      </c>
      <c r="C89" s="953" t="str">
        <f>'Master BOQ Pricing_2018-01-08'!C99</f>
        <v>Install Polymer 500x500mm Manhole</v>
      </c>
      <c r="D89" s="954" t="str">
        <f>'Master BOQ Pricing_2018-01-08'!D99</f>
        <v>ea</v>
      </c>
      <c r="E89" s="955">
        <f>'Master BOQ Pricing_2018-01-08'!E99</f>
        <v>545.45000000000005</v>
      </c>
      <c r="F89" s="956">
        <f>'Infra Build BOQ'!F99</f>
        <v>0</v>
      </c>
      <c r="G89" s="957">
        <f>'Infra Build BOQ'!G99</f>
        <v>0</v>
      </c>
      <c r="H89" s="973">
        <f>'Infra Build BOQ'!T99</f>
        <v>0</v>
      </c>
      <c r="I89" s="974">
        <f>'Infra Build BOQ'!U99</f>
        <v>0</v>
      </c>
      <c r="J89" s="975">
        <f>'Infra Build BOQ'!V99</f>
        <v>0</v>
      </c>
      <c r="K89" s="976">
        <f>'Infra Build BOQ'!W99</f>
        <v>0</v>
      </c>
      <c r="L89" s="973">
        <f>'Infra Build BOQ'!X99</f>
        <v>0</v>
      </c>
      <c r="M89" s="974">
        <f>'Infra Build BOQ'!Y99</f>
        <v>0</v>
      </c>
      <c r="N89" s="975">
        <f>'Infra Build BOQ'!Z99</f>
        <v>0</v>
      </c>
      <c r="O89" s="976">
        <f>'Infra Build BOQ'!AA99</f>
        <v>0</v>
      </c>
      <c r="P89" s="973">
        <f>'Infra Build BOQ'!AB99</f>
        <v>0</v>
      </c>
      <c r="Q89" s="974">
        <f>'Infra Build BOQ'!AC99</f>
        <v>0</v>
      </c>
      <c r="R89" s="975">
        <f>'Infra Build BOQ'!AD99</f>
        <v>0</v>
      </c>
      <c r="S89" s="976">
        <f>'Infra Build BOQ'!AE99</f>
        <v>0</v>
      </c>
      <c r="T89" s="973">
        <f>'Infra Build BOQ'!AF99</f>
        <v>0</v>
      </c>
      <c r="U89" s="974">
        <f>'Infra Build BOQ'!AG99</f>
        <v>0</v>
      </c>
      <c r="V89" s="975">
        <f>'Infra Build BOQ'!AH99</f>
        <v>0</v>
      </c>
      <c r="W89" s="976">
        <f>'Infra Build BOQ'!AI99</f>
        <v>0</v>
      </c>
      <c r="X89" s="974">
        <f>'Infra Build BOQ'!AJ99</f>
        <v>0</v>
      </c>
      <c r="Y89" s="975">
        <f>'Infra Build BOQ'!AK99</f>
        <v>0</v>
      </c>
      <c r="Z89" s="977">
        <f>'Infra Build BOQ'!AL99</f>
        <v>0</v>
      </c>
    </row>
    <row r="90" spans="2:26" s="163" customFormat="1">
      <c r="B90" s="952" t="str">
        <f>'Master BOQ Pricing_2018-01-08'!B100</f>
        <v>6,08,1</v>
      </c>
      <c r="C90" s="953" t="str">
        <f>'Master BOQ Pricing_2018-01-08'!C100</f>
        <v>Reposition or Install Polymer 500x500mm Manhole</v>
      </c>
      <c r="D90" s="954" t="str">
        <f>'Master BOQ Pricing_2018-01-08'!D100</f>
        <v>ea</v>
      </c>
      <c r="E90" s="955">
        <f>'Master BOQ Pricing_2018-01-08'!E100</f>
        <v>545.45000000000005</v>
      </c>
      <c r="F90" s="956">
        <f>'Infra Build BOQ'!F100</f>
        <v>0</v>
      </c>
      <c r="G90" s="957">
        <f>'Infra Build BOQ'!G100</f>
        <v>0</v>
      </c>
      <c r="H90" s="973">
        <f>'Infra Build BOQ'!T100</f>
        <v>0</v>
      </c>
      <c r="I90" s="974">
        <f>'Infra Build BOQ'!U100</f>
        <v>0</v>
      </c>
      <c r="J90" s="975">
        <f>'Infra Build BOQ'!V100</f>
        <v>0</v>
      </c>
      <c r="K90" s="976">
        <f>'Infra Build BOQ'!W100</f>
        <v>0</v>
      </c>
      <c r="L90" s="973">
        <f>'Infra Build BOQ'!X100</f>
        <v>0</v>
      </c>
      <c r="M90" s="974">
        <f>'Infra Build BOQ'!Y100</f>
        <v>0</v>
      </c>
      <c r="N90" s="975">
        <f>'Infra Build BOQ'!Z100</f>
        <v>0</v>
      </c>
      <c r="O90" s="976">
        <f>'Infra Build BOQ'!AA100</f>
        <v>0</v>
      </c>
      <c r="P90" s="973">
        <f>'Infra Build BOQ'!AB100</f>
        <v>0</v>
      </c>
      <c r="Q90" s="974">
        <f>'Infra Build BOQ'!AC100</f>
        <v>0</v>
      </c>
      <c r="R90" s="975">
        <f>'Infra Build BOQ'!AD100</f>
        <v>0</v>
      </c>
      <c r="S90" s="976">
        <f>'Infra Build BOQ'!AE100</f>
        <v>0</v>
      </c>
      <c r="T90" s="973">
        <f>'Infra Build BOQ'!AF100</f>
        <v>0</v>
      </c>
      <c r="U90" s="974">
        <f>'Infra Build BOQ'!AG100</f>
        <v>0</v>
      </c>
      <c r="V90" s="975">
        <f>'Infra Build BOQ'!AH100</f>
        <v>0</v>
      </c>
      <c r="W90" s="976">
        <f>'Infra Build BOQ'!AI100</f>
        <v>0</v>
      </c>
      <c r="X90" s="974">
        <f>'Infra Build BOQ'!AJ100</f>
        <v>0</v>
      </c>
      <c r="Y90" s="975">
        <f>'Infra Build BOQ'!AK100</f>
        <v>0</v>
      </c>
      <c r="Z90" s="977">
        <f>'Infra Build BOQ'!AL100</f>
        <v>0</v>
      </c>
    </row>
    <row r="91" spans="2:26" s="163" customFormat="1">
      <c r="B91" s="952">
        <f>'Master BOQ Pricing_2018-01-08'!B101</f>
        <v>6.09</v>
      </c>
      <c r="C91" s="953" t="str">
        <f>'Master BOQ Pricing_2018-01-08'!C101</f>
        <v>Install 350mm x350mm Toby box</v>
      </c>
      <c r="D91" s="954" t="str">
        <f>'Master BOQ Pricing_2018-01-08'!D101</f>
        <v>ea</v>
      </c>
      <c r="E91" s="955">
        <f>'Master BOQ Pricing_2018-01-08'!E101</f>
        <v>160</v>
      </c>
      <c r="F91" s="956">
        <f>'Infra Build BOQ'!F101</f>
        <v>0</v>
      </c>
      <c r="G91" s="957">
        <f>'Infra Build BOQ'!G101</f>
        <v>0</v>
      </c>
      <c r="H91" s="973">
        <f>'Infra Build BOQ'!T101</f>
        <v>0</v>
      </c>
      <c r="I91" s="974">
        <f>'Infra Build BOQ'!U101</f>
        <v>0</v>
      </c>
      <c r="J91" s="975">
        <f>'Infra Build BOQ'!V101</f>
        <v>0</v>
      </c>
      <c r="K91" s="976">
        <f>'Infra Build BOQ'!W101</f>
        <v>0</v>
      </c>
      <c r="L91" s="973">
        <f>'Infra Build BOQ'!X101</f>
        <v>0</v>
      </c>
      <c r="M91" s="974">
        <f>'Infra Build BOQ'!Y101</f>
        <v>0</v>
      </c>
      <c r="N91" s="975">
        <f>'Infra Build BOQ'!Z101</f>
        <v>0</v>
      </c>
      <c r="O91" s="976">
        <f>'Infra Build BOQ'!AA101</f>
        <v>0</v>
      </c>
      <c r="P91" s="973">
        <f>'Infra Build BOQ'!AB101</f>
        <v>0</v>
      </c>
      <c r="Q91" s="974">
        <f>'Infra Build BOQ'!AC101</f>
        <v>0</v>
      </c>
      <c r="R91" s="975">
        <f>'Infra Build BOQ'!AD101</f>
        <v>0</v>
      </c>
      <c r="S91" s="976">
        <f>'Infra Build BOQ'!AE101</f>
        <v>0</v>
      </c>
      <c r="T91" s="973">
        <f>'Infra Build BOQ'!AF101</f>
        <v>0</v>
      </c>
      <c r="U91" s="974">
        <f>'Infra Build BOQ'!AG101</f>
        <v>0</v>
      </c>
      <c r="V91" s="975">
        <f>'Infra Build BOQ'!AH101</f>
        <v>0</v>
      </c>
      <c r="W91" s="976">
        <f>'Infra Build BOQ'!AI101</f>
        <v>0</v>
      </c>
      <c r="X91" s="974">
        <f>'Infra Build BOQ'!AJ101</f>
        <v>0</v>
      </c>
      <c r="Y91" s="975">
        <f>'Infra Build BOQ'!AK101</f>
        <v>0</v>
      </c>
      <c r="Z91" s="977">
        <f>'Infra Build BOQ'!AL101</f>
        <v>0</v>
      </c>
    </row>
    <row r="92" spans="2:26" s="163" customFormat="1">
      <c r="B92" s="952">
        <f>'Master BOQ Pricing_2018-01-08'!B102</f>
        <v>6.1</v>
      </c>
      <c r="C92" s="953" t="str">
        <f>'Master BOQ Pricing_2018-01-08'!C102</f>
        <v>Install 250x230x300mm Toby Box</v>
      </c>
      <c r="D92" s="954" t="str">
        <f>'Master BOQ Pricing_2018-01-08'!D102</f>
        <v>ea</v>
      </c>
      <c r="E92" s="955">
        <f>'Master BOQ Pricing_2018-01-08'!E102</f>
        <v>160</v>
      </c>
      <c r="F92" s="956">
        <f>'Infra Build BOQ'!F102</f>
        <v>0</v>
      </c>
      <c r="G92" s="957">
        <f>'Infra Build BOQ'!G102</f>
        <v>0</v>
      </c>
      <c r="H92" s="973">
        <f>'Infra Build BOQ'!T102</f>
        <v>0</v>
      </c>
      <c r="I92" s="974">
        <f>'Infra Build BOQ'!U102</f>
        <v>0</v>
      </c>
      <c r="J92" s="975">
        <f>'Infra Build BOQ'!V102</f>
        <v>0</v>
      </c>
      <c r="K92" s="976">
        <f>'Infra Build BOQ'!W102</f>
        <v>0</v>
      </c>
      <c r="L92" s="973">
        <f>'Infra Build BOQ'!X102</f>
        <v>0</v>
      </c>
      <c r="M92" s="974">
        <f>'Infra Build BOQ'!Y102</f>
        <v>0</v>
      </c>
      <c r="N92" s="975">
        <f>'Infra Build BOQ'!Z102</f>
        <v>0</v>
      </c>
      <c r="O92" s="976">
        <f>'Infra Build BOQ'!AA102</f>
        <v>0</v>
      </c>
      <c r="P92" s="973">
        <f>'Infra Build BOQ'!AB102</f>
        <v>0</v>
      </c>
      <c r="Q92" s="974">
        <f>'Infra Build BOQ'!AC102</f>
        <v>0</v>
      </c>
      <c r="R92" s="975">
        <f>'Infra Build BOQ'!AD102</f>
        <v>0</v>
      </c>
      <c r="S92" s="976">
        <f>'Infra Build BOQ'!AE102</f>
        <v>0</v>
      </c>
      <c r="T92" s="973">
        <f>'Infra Build BOQ'!AF102</f>
        <v>0</v>
      </c>
      <c r="U92" s="974">
        <f>'Infra Build BOQ'!AG102</f>
        <v>0</v>
      </c>
      <c r="V92" s="975">
        <f>'Infra Build BOQ'!AH102</f>
        <v>0</v>
      </c>
      <c r="W92" s="976">
        <f>'Infra Build BOQ'!AI102</f>
        <v>0</v>
      </c>
      <c r="X92" s="974">
        <f>'Infra Build BOQ'!AJ102</f>
        <v>0</v>
      </c>
      <c r="Y92" s="975">
        <f>'Infra Build BOQ'!AK102</f>
        <v>0</v>
      </c>
      <c r="Z92" s="977">
        <f>'Infra Build BOQ'!AL102</f>
        <v>0</v>
      </c>
    </row>
    <row r="93" spans="2:26" s="163" customFormat="1">
      <c r="B93" s="952">
        <f>'Master BOQ Pricing_2018-01-08'!B103</f>
        <v>6.11</v>
      </c>
      <c r="C93" s="953" t="str">
        <f>'Master BOQ Pricing_2018-01-08'!C103</f>
        <v>Install Smartlock 400x400mm Manhole</v>
      </c>
      <c r="D93" s="954" t="str">
        <f>'Master BOQ Pricing_2018-01-08'!D103</f>
        <v>ea</v>
      </c>
      <c r="E93" s="955">
        <f>'Master BOQ Pricing_2018-01-08'!E103</f>
        <v>123.43</v>
      </c>
      <c r="F93" s="956">
        <f>'Infra Build BOQ'!F103</f>
        <v>0</v>
      </c>
      <c r="G93" s="957">
        <f>'Infra Build BOQ'!G103</f>
        <v>0</v>
      </c>
      <c r="H93" s="973">
        <f>'Infra Build BOQ'!T103</f>
        <v>0</v>
      </c>
      <c r="I93" s="974">
        <f>'Infra Build BOQ'!U103</f>
        <v>0</v>
      </c>
      <c r="J93" s="975">
        <f>'Infra Build BOQ'!V103</f>
        <v>0</v>
      </c>
      <c r="K93" s="976">
        <f>'Infra Build BOQ'!W103</f>
        <v>0</v>
      </c>
      <c r="L93" s="973">
        <f>'Infra Build BOQ'!X103</f>
        <v>0</v>
      </c>
      <c r="M93" s="974">
        <f>'Infra Build BOQ'!Y103</f>
        <v>0</v>
      </c>
      <c r="N93" s="975">
        <f>'Infra Build BOQ'!Z103</f>
        <v>0</v>
      </c>
      <c r="O93" s="976">
        <f>'Infra Build BOQ'!AA103</f>
        <v>0</v>
      </c>
      <c r="P93" s="973">
        <f>'Infra Build BOQ'!AB103</f>
        <v>0</v>
      </c>
      <c r="Q93" s="974">
        <f>'Infra Build BOQ'!AC103</f>
        <v>0</v>
      </c>
      <c r="R93" s="975">
        <f>'Infra Build BOQ'!AD103</f>
        <v>0</v>
      </c>
      <c r="S93" s="976">
        <f>'Infra Build BOQ'!AE103</f>
        <v>0</v>
      </c>
      <c r="T93" s="973">
        <f>'Infra Build BOQ'!AF103</f>
        <v>0</v>
      </c>
      <c r="U93" s="974">
        <f>'Infra Build BOQ'!AG103</f>
        <v>0</v>
      </c>
      <c r="V93" s="975">
        <f>'Infra Build BOQ'!AH103</f>
        <v>0</v>
      </c>
      <c r="W93" s="976">
        <f>'Infra Build BOQ'!AI103</f>
        <v>0</v>
      </c>
      <c r="X93" s="974">
        <f>'Infra Build BOQ'!AJ103</f>
        <v>0</v>
      </c>
      <c r="Y93" s="975">
        <f>'Infra Build BOQ'!AK103</f>
        <v>0</v>
      </c>
      <c r="Z93" s="977">
        <f>'Infra Build BOQ'!AL103</f>
        <v>0</v>
      </c>
    </row>
    <row r="94" spans="2:26" s="163" customFormat="1">
      <c r="B94" s="952">
        <f>'Master BOQ Pricing_2018-01-08'!B104</f>
        <v>6.12</v>
      </c>
      <c r="C94" s="953" t="str">
        <f>'Master BOQ Pricing_2018-01-08'!C104</f>
        <v>Install Smartlock 400x600mm Manhole</v>
      </c>
      <c r="D94" s="954" t="str">
        <f>'Master BOQ Pricing_2018-01-08'!D104</f>
        <v>ea</v>
      </c>
      <c r="E94" s="955">
        <f>'Master BOQ Pricing_2018-01-08'!E104</f>
        <v>164.75</v>
      </c>
      <c r="F94" s="956">
        <f>'Infra Build BOQ'!F104</f>
        <v>0</v>
      </c>
      <c r="G94" s="957">
        <f>'Infra Build BOQ'!G104</f>
        <v>0</v>
      </c>
      <c r="H94" s="973">
        <f>'Infra Build BOQ'!T104</f>
        <v>0</v>
      </c>
      <c r="I94" s="974">
        <f>'Infra Build BOQ'!U104</f>
        <v>0</v>
      </c>
      <c r="J94" s="975">
        <f>'Infra Build BOQ'!V104</f>
        <v>0</v>
      </c>
      <c r="K94" s="976">
        <f>'Infra Build BOQ'!W104</f>
        <v>0</v>
      </c>
      <c r="L94" s="973">
        <f>'Infra Build BOQ'!X104</f>
        <v>0</v>
      </c>
      <c r="M94" s="974">
        <f>'Infra Build BOQ'!Y104</f>
        <v>0</v>
      </c>
      <c r="N94" s="975">
        <f>'Infra Build BOQ'!Z104</f>
        <v>0</v>
      </c>
      <c r="O94" s="976">
        <f>'Infra Build BOQ'!AA104</f>
        <v>0</v>
      </c>
      <c r="P94" s="973">
        <f>'Infra Build BOQ'!AB104</f>
        <v>0</v>
      </c>
      <c r="Q94" s="974">
        <f>'Infra Build BOQ'!AC104</f>
        <v>0</v>
      </c>
      <c r="R94" s="975">
        <f>'Infra Build BOQ'!AD104</f>
        <v>0</v>
      </c>
      <c r="S94" s="976">
        <f>'Infra Build BOQ'!AE104</f>
        <v>0</v>
      </c>
      <c r="T94" s="973">
        <f>'Infra Build BOQ'!AF104</f>
        <v>0</v>
      </c>
      <c r="U94" s="974">
        <f>'Infra Build BOQ'!AG104</f>
        <v>0</v>
      </c>
      <c r="V94" s="975">
        <f>'Infra Build BOQ'!AH104</f>
        <v>0</v>
      </c>
      <c r="W94" s="976">
        <f>'Infra Build BOQ'!AI104</f>
        <v>0</v>
      </c>
      <c r="X94" s="974">
        <f>'Infra Build BOQ'!AJ104</f>
        <v>0</v>
      </c>
      <c r="Y94" s="975">
        <f>'Infra Build BOQ'!AK104</f>
        <v>0</v>
      </c>
      <c r="Z94" s="977">
        <f>'Infra Build BOQ'!AL104</f>
        <v>0</v>
      </c>
    </row>
    <row r="95" spans="2:26" s="163" customFormat="1">
      <c r="B95" s="952">
        <f>'Master BOQ Pricing_2018-01-08'!B105</f>
        <v>6.13</v>
      </c>
      <c r="C95" s="953" t="str">
        <f>'Master BOQ Pricing_2018-01-08'!C105</f>
        <v>Install Medium Duty 600x600mm Manhole (DMC)</v>
      </c>
      <c r="D95" s="954" t="str">
        <f>'Master BOQ Pricing_2018-01-08'!D105</f>
        <v>ea</v>
      </c>
      <c r="E95" s="955">
        <f>'Master BOQ Pricing_2018-01-08'!E105</f>
        <v>504.69</v>
      </c>
      <c r="F95" s="956">
        <f>'Infra Build BOQ'!F105</f>
        <v>0</v>
      </c>
      <c r="G95" s="957">
        <f>'Infra Build BOQ'!G105</f>
        <v>0</v>
      </c>
      <c r="H95" s="973">
        <f>'Infra Build BOQ'!T105</f>
        <v>0</v>
      </c>
      <c r="I95" s="974">
        <f>'Infra Build BOQ'!U105</f>
        <v>0</v>
      </c>
      <c r="J95" s="975">
        <f>'Infra Build BOQ'!V105</f>
        <v>0</v>
      </c>
      <c r="K95" s="976">
        <f>'Infra Build BOQ'!W105</f>
        <v>0</v>
      </c>
      <c r="L95" s="973">
        <f>'Infra Build BOQ'!X105</f>
        <v>0</v>
      </c>
      <c r="M95" s="974">
        <f>'Infra Build BOQ'!Y105</f>
        <v>0</v>
      </c>
      <c r="N95" s="975">
        <f>'Infra Build BOQ'!Z105</f>
        <v>0</v>
      </c>
      <c r="O95" s="976">
        <f>'Infra Build BOQ'!AA105</f>
        <v>0</v>
      </c>
      <c r="P95" s="973">
        <f>'Infra Build BOQ'!AB105</f>
        <v>0</v>
      </c>
      <c r="Q95" s="974">
        <f>'Infra Build BOQ'!AC105</f>
        <v>0</v>
      </c>
      <c r="R95" s="975">
        <f>'Infra Build BOQ'!AD105</f>
        <v>0</v>
      </c>
      <c r="S95" s="976">
        <f>'Infra Build BOQ'!AE105</f>
        <v>0</v>
      </c>
      <c r="T95" s="973">
        <f>'Infra Build BOQ'!AF105</f>
        <v>0</v>
      </c>
      <c r="U95" s="974">
        <f>'Infra Build BOQ'!AG105</f>
        <v>0</v>
      </c>
      <c r="V95" s="975">
        <f>'Infra Build BOQ'!AH105</f>
        <v>0</v>
      </c>
      <c r="W95" s="976">
        <f>'Infra Build BOQ'!AI105</f>
        <v>0</v>
      </c>
      <c r="X95" s="974">
        <f>'Infra Build BOQ'!AJ105</f>
        <v>0</v>
      </c>
      <c r="Y95" s="975">
        <f>'Infra Build BOQ'!AK105</f>
        <v>0</v>
      </c>
      <c r="Z95" s="977">
        <f>'Infra Build BOQ'!AL105</f>
        <v>0</v>
      </c>
    </row>
    <row r="96" spans="2:26" s="163" customFormat="1">
      <c r="B96" s="952">
        <f>'Master BOQ Pricing_2018-01-08'!B106</f>
        <v>6.14</v>
      </c>
      <c r="C96" s="953" t="str">
        <f>'Master BOQ Pricing_2018-01-08'!C106</f>
        <v>Install Medium Duty 900x900mm Manhole (DMC)</v>
      </c>
      <c r="D96" s="954" t="str">
        <f>'Master BOQ Pricing_2018-01-08'!D106</f>
        <v>ea</v>
      </c>
      <c r="E96" s="955">
        <f>'Master BOQ Pricing_2018-01-08'!E106</f>
        <v>599.12</v>
      </c>
      <c r="F96" s="956">
        <f>'Infra Build BOQ'!F106</f>
        <v>0</v>
      </c>
      <c r="G96" s="957">
        <f>'Infra Build BOQ'!G106</f>
        <v>0</v>
      </c>
      <c r="H96" s="973">
        <f>'Infra Build BOQ'!T106</f>
        <v>0</v>
      </c>
      <c r="I96" s="974">
        <f>'Infra Build BOQ'!U106</f>
        <v>0</v>
      </c>
      <c r="J96" s="975">
        <f>'Infra Build BOQ'!V106</f>
        <v>0</v>
      </c>
      <c r="K96" s="976">
        <f>'Infra Build BOQ'!W106</f>
        <v>0</v>
      </c>
      <c r="L96" s="973">
        <f>'Infra Build BOQ'!X106</f>
        <v>0</v>
      </c>
      <c r="M96" s="974">
        <f>'Infra Build BOQ'!Y106</f>
        <v>0</v>
      </c>
      <c r="N96" s="975">
        <f>'Infra Build BOQ'!Z106</f>
        <v>0</v>
      </c>
      <c r="O96" s="976">
        <f>'Infra Build BOQ'!AA106</f>
        <v>0</v>
      </c>
      <c r="P96" s="973">
        <f>'Infra Build BOQ'!AB106</f>
        <v>0</v>
      </c>
      <c r="Q96" s="974">
        <f>'Infra Build BOQ'!AC106</f>
        <v>0</v>
      </c>
      <c r="R96" s="975">
        <f>'Infra Build BOQ'!AD106</f>
        <v>0</v>
      </c>
      <c r="S96" s="976">
        <f>'Infra Build BOQ'!AE106</f>
        <v>0</v>
      </c>
      <c r="T96" s="973">
        <f>'Infra Build BOQ'!AF106</f>
        <v>0</v>
      </c>
      <c r="U96" s="974">
        <f>'Infra Build BOQ'!AG106</f>
        <v>0</v>
      </c>
      <c r="V96" s="975">
        <f>'Infra Build BOQ'!AH106</f>
        <v>0</v>
      </c>
      <c r="W96" s="976">
        <f>'Infra Build BOQ'!AI106</f>
        <v>0</v>
      </c>
      <c r="X96" s="974">
        <f>'Infra Build BOQ'!AJ106</f>
        <v>0</v>
      </c>
      <c r="Y96" s="975">
        <f>'Infra Build BOQ'!AK106</f>
        <v>0</v>
      </c>
      <c r="Z96" s="977">
        <f>'Infra Build BOQ'!AL106</f>
        <v>0</v>
      </c>
    </row>
    <row r="97" spans="2:26" s="163" customFormat="1">
      <c r="B97" s="952">
        <f>'Master BOQ Pricing_2018-01-08'!B107</f>
        <v>6.15</v>
      </c>
      <c r="C97" s="953" t="str">
        <f>'Master BOQ Pricing_2018-01-08'!C107</f>
        <v>Supply and Install Replacement 3rd Party Manhole concrete lid (490-560mm Light duty lid)</v>
      </c>
      <c r="D97" s="954" t="str">
        <f>'Master BOQ Pricing_2018-01-08'!D107</f>
        <v>ea</v>
      </c>
      <c r="E97" s="955">
        <f>'Master BOQ Pricing_2018-01-08'!E107</f>
        <v>255</v>
      </c>
      <c r="F97" s="956">
        <f>'Infra Build BOQ'!F107</f>
        <v>0</v>
      </c>
      <c r="G97" s="957">
        <f>'Infra Build BOQ'!G107</f>
        <v>0</v>
      </c>
      <c r="H97" s="973">
        <f>'Infra Build BOQ'!T107</f>
        <v>0</v>
      </c>
      <c r="I97" s="974">
        <f>'Infra Build BOQ'!U107</f>
        <v>0</v>
      </c>
      <c r="J97" s="975">
        <f>'Infra Build BOQ'!V107</f>
        <v>0</v>
      </c>
      <c r="K97" s="976">
        <f>'Infra Build BOQ'!W107</f>
        <v>0</v>
      </c>
      <c r="L97" s="973">
        <f>'Infra Build BOQ'!X107</f>
        <v>0</v>
      </c>
      <c r="M97" s="974">
        <f>'Infra Build BOQ'!Y107</f>
        <v>0</v>
      </c>
      <c r="N97" s="975">
        <f>'Infra Build BOQ'!Z107</f>
        <v>0</v>
      </c>
      <c r="O97" s="976">
        <f>'Infra Build BOQ'!AA107</f>
        <v>0</v>
      </c>
      <c r="P97" s="973">
        <f>'Infra Build BOQ'!AB107</f>
        <v>0</v>
      </c>
      <c r="Q97" s="974">
        <f>'Infra Build BOQ'!AC107</f>
        <v>0</v>
      </c>
      <c r="R97" s="975">
        <f>'Infra Build BOQ'!AD107</f>
        <v>0</v>
      </c>
      <c r="S97" s="976">
        <f>'Infra Build BOQ'!AE107</f>
        <v>0</v>
      </c>
      <c r="T97" s="973">
        <f>'Infra Build BOQ'!AF107</f>
        <v>0</v>
      </c>
      <c r="U97" s="974">
        <f>'Infra Build BOQ'!AG107</f>
        <v>0</v>
      </c>
      <c r="V97" s="975">
        <f>'Infra Build BOQ'!AH107</f>
        <v>0</v>
      </c>
      <c r="W97" s="976">
        <f>'Infra Build BOQ'!AI107</f>
        <v>0</v>
      </c>
      <c r="X97" s="974">
        <f>'Infra Build BOQ'!AJ107</f>
        <v>0</v>
      </c>
      <c r="Y97" s="975">
        <f>'Infra Build BOQ'!AK107</f>
        <v>0</v>
      </c>
      <c r="Z97" s="977">
        <f>'Infra Build BOQ'!AL107</f>
        <v>0</v>
      </c>
    </row>
    <row r="98" spans="2:26" s="163" customFormat="1" ht="24">
      <c r="B98" s="952">
        <f>'Master BOQ Pricing_2018-01-08'!B108</f>
        <v>6.16</v>
      </c>
      <c r="C98" s="953" t="str">
        <f>'Master BOQ Pricing_2018-01-08'!C108</f>
        <v>Supply and Install Replacement 3rd Party Manhole coping and concrete lid (860mm Ø x 75mm depth with 490 mm hole and 560mm light duty lid)</v>
      </c>
      <c r="D98" s="954" t="str">
        <f>'Master BOQ Pricing_2018-01-08'!D108</f>
        <v>ea</v>
      </c>
      <c r="E98" s="955">
        <f>'Master BOQ Pricing_2018-01-08'!E108</f>
        <v>520</v>
      </c>
      <c r="F98" s="956">
        <f>'Infra Build BOQ'!F108</f>
        <v>0</v>
      </c>
      <c r="G98" s="957">
        <f>'Infra Build BOQ'!G108</f>
        <v>0</v>
      </c>
      <c r="H98" s="973">
        <f>'Infra Build BOQ'!T108</f>
        <v>0</v>
      </c>
      <c r="I98" s="974">
        <f>'Infra Build BOQ'!U108</f>
        <v>0</v>
      </c>
      <c r="J98" s="975">
        <f>'Infra Build BOQ'!V108</f>
        <v>0</v>
      </c>
      <c r="K98" s="976">
        <f>'Infra Build BOQ'!W108</f>
        <v>0</v>
      </c>
      <c r="L98" s="973">
        <f>'Infra Build BOQ'!X108</f>
        <v>0</v>
      </c>
      <c r="M98" s="974">
        <f>'Infra Build BOQ'!Y108</f>
        <v>0</v>
      </c>
      <c r="N98" s="975">
        <f>'Infra Build BOQ'!Z108</f>
        <v>0</v>
      </c>
      <c r="O98" s="976">
        <f>'Infra Build BOQ'!AA108</f>
        <v>0</v>
      </c>
      <c r="P98" s="973">
        <f>'Infra Build BOQ'!AB108</f>
        <v>0</v>
      </c>
      <c r="Q98" s="974">
        <f>'Infra Build BOQ'!AC108</f>
        <v>0</v>
      </c>
      <c r="R98" s="975">
        <f>'Infra Build BOQ'!AD108</f>
        <v>0</v>
      </c>
      <c r="S98" s="976">
        <f>'Infra Build BOQ'!AE108</f>
        <v>0</v>
      </c>
      <c r="T98" s="973">
        <f>'Infra Build BOQ'!AF108</f>
        <v>0</v>
      </c>
      <c r="U98" s="974">
        <f>'Infra Build BOQ'!AG108</f>
        <v>0</v>
      </c>
      <c r="V98" s="975">
        <f>'Infra Build BOQ'!AH108</f>
        <v>0</v>
      </c>
      <c r="W98" s="976">
        <f>'Infra Build BOQ'!AI108</f>
        <v>0</v>
      </c>
      <c r="X98" s="974">
        <f>'Infra Build BOQ'!AJ108</f>
        <v>0</v>
      </c>
      <c r="Y98" s="975">
        <f>'Infra Build BOQ'!AK108</f>
        <v>0</v>
      </c>
      <c r="Z98" s="977">
        <f>'Infra Build BOQ'!AL108</f>
        <v>0</v>
      </c>
    </row>
    <row r="99" spans="2:26" s="163" customFormat="1">
      <c r="B99" s="952">
        <f>'Master BOQ Pricing_2018-01-08'!B109</f>
        <v>6.17</v>
      </c>
      <c r="C99" s="953" t="str">
        <f>'Master BOQ Pricing_2018-01-08'!C109</f>
        <v>Supply and Install Cabinet Plinth - LA Spec1, 2.45m x1.76m x 0.23m</v>
      </c>
      <c r="D99" s="954" t="str">
        <f>'Master BOQ Pricing_2018-01-08'!D109</f>
        <v>ea</v>
      </c>
      <c r="E99" s="955">
        <f>'Master BOQ Pricing_2018-01-08'!E109</f>
        <v>4899.96</v>
      </c>
      <c r="F99" s="956">
        <f>'Infra Build BOQ'!F109</f>
        <v>0</v>
      </c>
      <c r="G99" s="957">
        <f>'Infra Build BOQ'!G109</f>
        <v>0</v>
      </c>
      <c r="H99" s="973">
        <f>'Infra Build BOQ'!T109</f>
        <v>0</v>
      </c>
      <c r="I99" s="974">
        <f>'Infra Build BOQ'!U109</f>
        <v>0</v>
      </c>
      <c r="J99" s="975">
        <f>'Infra Build BOQ'!V109</f>
        <v>0</v>
      </c>
      <c r="K99" s="976">
        <f>'Infra Build BOQ'!W109</f>
        <v>0</v>
      </c>
      <c r="L99" s="973">
        <f>'Infra Build BOQ'!X109</f>
        <v>0</v>
      </c>
      <c r="M99" s="974">
        <f>'Infra Build BOQ'!Y109</f>
        <v>0</v>
      </c>
      <c r="N99" s="975">
        <f>'Infra Build BOQ'!Z109</f>
        <v>0</v>
      </c>
      <c r="O99" s="976">
        <f>'Infra Build BOQ'!AA109</f>
        <v>0</v>
      </c>
      <c r="P99" s="973">
        <f>'Infra Build BOQ'!AB109</f>
        <v>0</v>
      </c>
      <c r="Q99" s="974">
        <f>'Infra Build BOQ'!AC109</f>
        <v>0</v>
      </c>
      <c r="R99" s="975">
        <f>'Infra Build BOQ'!AD109</f>
        <v>0</v>
      </c>
      <c r="S99" s="976">
        <f>'Infra Build BOQ'!AE109</f>
        <v>0</v>
      </c>
      <c r="T99" s="973">
        <f>'Infra Build BOQ'!AF109</f>
        <v>0</v>
      </c>
      <c r="U99" s="974">
        <f>'Infra Build BOQ'!AG109</f>
        <v>0</v>
      </c>
      <c r="V99" s="975">
        <f>'Infra Build BOQ'!AH109</f>
        <v>0</v>
      </c>
      <c r="W99" s="976">
        <f>'Infra Build BOQ'!AI109</f>
        <v>0</v>
      </c>
      <c r="X99" s="974">
        <f>'Infra Build BOQ'!AJ109</f>
        <v>0</v>
      </c>
      <c r="Y99" s="975">
        <f>'Infra Build BOQ'!AK109</f>
        <v>0</v>
      </c>
      <c r="Z99" s="977">
        <f>'Infra Build BOQ'!AL109</f>
        <v>0</v>
      </c>
    </row>
    <row r="100" spans="2:26" s="163" customFormat="1">
      <c r="B100" s="952">
        <f>'Master BOQ Pricing_2018-01-08'!B110</f>
        <v>6.18</v>
      </c>
      <c r="C100" s="953" t="str">
        <f>'Master BOQ Pricing_2018-01-08'!C110</f>
        <v>Supply and Install Cabinet Plinth - LA Spec2, 1500x950x100, Install Cabinet Base &amp; Cabinet</v>
      </c>
      <c r="D100" s="954" t="str">
        <f>'Master BOQ Pricing_2018-01-08'!D110</f>
        <v>ea</v>
      </c>
      <c r="E100" s="955">
        <f>'Master BOQ Pricing_2018-01-08'!E110</f>
        <v>2869</v>
      </c>
      <c r="F100" s="956">
        <f>'Infra Build BOQ'!F110</f>
        <v>0</v>
      </c>
      <c r="G100" s="957">
        <f>'Infra Build BOQ'!G110</f>
        <v>0</v>
      </c>
      <c r="H100" s="973">
        <f>'Infra Build BOQ'!T110</f>
        <v>0</v>
      </c>
      <c r="I100" s="974">
        <f>'Infra Build BOQ'!U110</f>
        <v>0</v>
      </c>
      <c r="J100" s="975">
        <f>'Infra Build BOQ'!V110</f>
        <v>0</v>
      </c>
      <c r="K100" s="976">
        <f>'Infra Build BOQ'!W110</f>
        <v>0</v>
      </c>
      <c r="L100" s="973">
        <f>'Infra Build BOQ'!X110</f>
        <v>0</v>
      </c>
      <c r="M100" s="974">
        <f>'Infra Build BOQ'!Y110</f>
        <v>0</v>
      </c>
      <c r="N100" s="975">
        <f>'Infra Build BOQ'!Z110</f>
        <v>0</v>
      </c>
      <c r="O100" s="976">
        <f>'Infra Build BOQ'!AA110</f>
        <v>0</v>
      </c>
      <c r="P100" s="973">
        <f>'Infra Build BOQ'!AB110</f>
        <v>0</v>
      </c>
      <c r="Q100" s="974">
        <f>'Infra Build BOQ'!AC110</f>
        <v>0</v>
      </c>
      <c r="R100" s="975">
        <f>'Infra Build BOQ'!AD110</f>
        <v>0</v>
      </c>
      <c r="S100" s="976">
        <f>'Infra Build BOQ'!AE110</f>
        <v>0</v>
      </c>
      <c r="T100" s="973">
        <f>'Infra Build BOQ'!AF110</f>
        <v>0</v>
      </c>
      <c r="U100" s="974">
        <f>'Infra Build BOQ'!AG110</f>
        <v>0</v>
      </c>
      <c r="V100" s="975">
        <f>'Infra Build BOQ'!AH110</f>
        <v>0</v>
      </c>
      <c r="W100" s="976">
        <f>'Infra Build BOQ'!AI110</f>
        <v>0</v>
      </c>
      <c r="X100" s="974">
        <f>'Infra Build BOQ'!AJ110</f>
        <v>0</v>
      </c>
      <c r="Y100" s="975">
        <f>'Infra Build BOQ'!AK110</f>
        <v>0</v>
      </c>
      <c r="Z100" s="977">
        <f>'Infra Build BOQ'!AL110</f>
        <v>0</v>
      </c>
    </row>
    <row r="101" spans="2:26" s="163" customFormat="1">
      <c r="B101" s="952">
        <f>'Master BOQ Pricing_2018-01-08'!B111</f>
        <v>6.19</v>
      </c>
      <c r="C101" s="953" t="str">
        <f>'Master BOQ Pricing_2018-01-08'!C111</f>
        <v>Install LA 23U cabinet on Existing Plinth</v>
      </c>
      <c r="D101" s="954" t="str">
        <f>'Master BOQ Pricing_2018-01-08'!D111</f>
        <v>ea</v>
      </c>
      <c r="E101" s="955">
        <f>'Master BOQ Pricing_2018-01-08'!E111</f>
        <v>750</v>
      </c>
      <c r="F101" s="956">
        <f>'Infra Build BOQ'!F111</f>
        <v>0</v>
      </c>
      <c r="G101" s="957">
        <f>'Infra Build BOQ'!G111</f>
        <v>0</v>
      </c>
      <c r="H101" s="973">
        <f>'Infra Build BOQ'!T111</f>
        <v>0</v>
      </c>
      <c r="I101" s="974">
        <f>'Infra Build BOQ'!U111</f>
        <v>0</v>
      </c>
      <c r="J101" s="975">
        <f>'Infra Build BOQ'!V111</f>
        <v>0</v>
      </c>
      <c r="K101" s="976">
        <f>'Infra Build BOQ'!W111</f>
        <v>0</v>
      </c>
      <c r="L101" s="973">
        <f>'Infra Build BOQ'!X111</f>
        <v>0</v>
      </c>
      <c r="M101" s="974">
        <f>'Infra Build BOQ'!Y111</f>
        <v>0</v>
      </c>
      <c r="N101" s="975">
        <f>'Infra Build BOQ'!Z111</f>
        <v>0</v>
      </c>
      <c r="O101" s="976">
        <f>'Infra Build BOQ'!AA111</f>
        <v>0</v>
      </c>
      <c r="P101" s="973">
        <f>'Infra Build BOQ'!AB111</f>
        <v>0</v>
      </c>
      <c r="Q101" s="974">
        <f>'Infra Build BOQ'!AC111</f>
        <v>0</v>
      </c>
      <c r="R101" s="975">
        <f>'Infra Build BOQ'!AD111</f>
        <v>0</v>
      </c>
      <c r="S101" s="976">
        <f>'Infra Build BOQ'!AE111</f>
        <v>0</v>
      </c>
      <c r="T101" s="973">
        <f>'Infra Build BOQ'!AF111</f>
        <v>0</v>
      </c>
      <c r="U101" s="974">
        <f>'Infra Build BOQ'!AG111</f>
        <v>0</v>
      </c>
      <c r="V101" s="975">
        <f>'Infra Build BOQ'!AH111</f>
        <v>0</v>
      </c>
      <c r="W101" s="976">
        <f>'Infra Build BOQ'!AI111</f>
        <v>0</v>
      </c>
      <c r="X101" s="974">
        <f>'Infra Build BOQ'!AJ111</f>
        <v>0</v>
      </c>
      <c r="Y101" s="975">
        <f>'Infra Build BOQ'!AK111</f>
        <v>0</v>
      </c>
      <c r="Z101" s="977">
        <f>'Infra Build BOQ'!AL111</f>
        <v>0</v>
      </c>
    </row>
    <row r="102" spans="2:26" s="163" customFormat="1">
      <c r="B102" s="952">
        <f>'Master BOQ Pricing_2018-01-08'!B112</f>
        <v>6.2</v>
      </c>
      <c r="C102" s="953" t="str">
        <f>'Master BOQ Pricing_2018-01-08'!C112</f>
        <v>Supply and install of 3 phase lockable meter box and electrical cabling</v>
      </c>
      <c r="D102" s="954" t="str">
        <f>'Master BOQ Pricing_2018-01-08'!D112</f>
        <v>ea</v>
      </c>
      <c r="E102" s="955">
        <f>'Master BOQ Pricing_2018-01-08'!E112</f>
        <v>5250</v>
      </c>
      <c r="F102" s="956">
        <f>'Infra Build BOQ'!F112</f>
        <v>0</v>
      </c>
      <c r="G102" s="957">
        <f>'Infra Build BOQ'!G112</f>
        <v>0</v>
      </c>
      <c r="H102" s="973">
        <f>'Infra Build BOQ'!T112</f>
        <v>0</v>
      </c>
      <c r="I102" s="974">
        <f>'Infra Build BOQ'!U112</f>
        <v>0</v>
      </c>
      <c r="J102" s="975">
        <f>'Infra Build BOQ'!V112</f>
        <v>0</v>
      </c>
      <c r="K102" s="976">
        <f>'Infra Build BOQ'!W112</f>
        <v>0</v>
      </c>
      <c r="L102" s="973">
        <f>'Infra Build BOQ'!X112</f>
        <v>0</v>
      </c>
      <c r="M102" s="974">
        <f>'Infra Build BOQ'!Y112</f>
        <v>0</v>
      </c>
      <c r="N102" s="975">
        <f>'Infra Build BOQ'!Z112</f>
        <v>0</v>
      </c>
      <c r="O102" s="976">
        <f>'Infra Build BOQ'!AA112</f>
        <v>0</v>
      </c>
      <c r="P102" s="973">
        <f>'Infra Build BOQ'!AB112</f>
        <v>0</v>
      </c>
      <c r="Q102" s="974">
        <f>'Infra Build BOQ'!AC112</f>
        <v>0</v>
      </c>
      <c r="R102" s="975">
        <f>'Infra Build BOQ'!AD112</f>
        <v>0</v>
      </c>
      <c r="S102" s="976">
        <f>'Infra Build BOQ'!AE112</f>
        <v>0</v>
      </c>
      <c r="T102" s="973">
        <f>'Infra Build BOQ'!AF112</f>
        <v>0</v>
      </c>
      <c r="U102" s="974">
        <f>'Infra Build BOQ'!AG112</f>
        <v>0</v>
      </c>
      <c r="V102" s="975">
        <f>'Infra Build BOQ'!AH112</f>
        <v>0</v>
      </c>
      <c r="W102" s="976">
        <f>'Infra Build BOQ'!AI112</f>
        <v>0</v>
      </c>
      <c r="X102" s="974">
        <f>'Infra Build BOQ'!AJ112</f>
        <v>0</v>
      </c>
      <c r="Y102" s="975">
        <f>'Infra Build BOQ'!AK112</f>
        <v>0</v>
      </c>
      <c r="Z102" s="977">
        <f>'Infra Build BOQ'!AL112</f>
        <v>0</v>
      </c>
    </row>
    <row r="103" spans="2:26" s="163" customFormat="1">
      <c r="B103" s="952">
        <f>'Master BOQ Pricing_2018-01-08'!B113</f>
        <v>6.21</v>
      </c>
      <c r="C103" s="953" t="str">
        <f>'Master BOQ Pricing_2018-01-08'!C113</f>
        <v>Install iMonnit Equipment in Indoor POP</v>
      </c>
      <c r="D103" s="954" t="str">
        <f>'Master BOQ Pricing_2018-01-08'!D113</f>
        <v>ea</v>
      </c>
      <c r="E103" s="955">
        <f>'Master BOQ Pricing_2018-01-08'!E113</f>
        <v>0</v>
      </c>
      <c r="F103" s="956">
        <f>'Infra Build BOQ'!F113</f>
        <v>0</v>
      </c>
      <c r="G103" s="957">
        <f>'Infra Build BOQ'!G113</f>
        <v>0</v>
      </c>
      <c r="H103" s="973">
        <f>'Infra Build BOQ'!T113</f>
        <v>0</v>
      </c>
      <c r="I103" s="974">
        <f>'Infra Build BOQ'!U113</f>
        <v>0</v>
      </c>
      <c r="J103" s="975">
        <f>'Infra Build BOQ'!V113</f>
        <v>0</v>
      </c>
      <c r="K103" s="976">
        <f>'Infra Build BOQ'!W113</f>
        <v>0</v>
      </c>
      <c r="L103" s="973">
        <f>'Infra Build BOQ'!X113</f>
        <v>0</v>
      </c>
      <c r="M103" s="974">
        <f>'Infra Build BOQ'!Y113</f>
        <v>0</v>
      </c>
      <c r="N103" s="975">
        <f>'Infra Build BOQ'!Z113</f>
        <v>0</v>
      </c>
      <c r="O103" s="976">
        <f>'Infra Build BOQ'!AA113</f>
        <v>0</v>
      </c>
      <c r="P103" s="973">
        <f>'Infra Build BOQ'!AB113</f>
        <v>0</v>
      </c>
      <c r="Q103" s="974">
        <f>'Infra Build BOQ'!AC113</f>
        <v>0</v>
      </c>
      <c r="R103" s="975">
        <f>'Infra Build BOQ'!AD113</f>
        <v>0</v>
      </c>
      <c r="S103" s="976">
        <f>'Infra Build BOQ'!AE113</f>
        <v>0</v>
      </c>
      <c r="T103" s="973">
        <f>'Infra Build BOQ'!AF113</f>
        <v>0</v>
      </c>
      <c r="U103" s="974">
        <f>'Infra Build BOQ'!AG113</f>
        <v>0</v>
      </c>
      <c r="V103" s="975">
        <f>'Infra Build BOQ'!AH113</f>
        <v>0</v>
      </c>
      <c r="W103" s="976">
        <f>'Infra Build BOQ'!AI113</f>
        <v>0</v>
      </c>
      <c r="X103" s="974">
        <f>'Infra Build BOQ'!AJ113</f>
        <v>0</v>
      </c>
      <c r="Y103" s="975">
        <f>'Infra Build BOQ'!AK113</f>
        <v>0</v>
      </c>
      <c r="Z103" s="977">
        <f>'Infra Build BOQ'!AL113</f>
        <v>0</v>
      </c>
    </row>
    <row r="104" spans="2:26" s="163" customFormat="1">
      <c r="B104" s="952">
        <f>'Master BOQ Pricing_2018-01-08'!B114</f>
        <v>6.22</v>
      </c>
      <c r="C104" s="953" t="str">
        <f>'Master BOQ Pricing_2018-01-08'!C114</f>
        <v>Install iMonnit Equipment in Street Cabinet POP</v>
      </c>
      <c r="D104" s="954" t="str">
        <f>'Master BOQ Pricing_2018-01-08'!D114</f>
        <v>ea</v>
      </c>
      <c r="E104" s="955">
        <f>'Master BOQ Pricing_2018-01-08'!E114</f>
        <v>0</v>
      </c>
      <c r="F104" s="956">
        <f>'Infra Build BOQ'!F114</f>
        <v>0</v>
      </c>
      <c r="G104" s="957">
        <f>'Infra Build BOQ'!G114</f>
        <v>0</v>
      </c>
      <c r="H104" s="973">
        <f>'Infra Build BOQ'!T114</f>
        <v>0</v>
      </c>
      <c r="I104" s="974">
        <f>'Infra Build BOQ'!U114</f>
        <v>0</v>
      </c>
      <c r="J104" s="975">
        <f>'Infra Build BOQ'!V114</f>
        <v>0</v>
      </c>
      <c r="K104" s="976">
        <f>'Infra Build BOQ'!W114</f>
        <v>0</v>
      </c>
      <c r="L104" s="973">
        <f>'Infra Build BOQ'!X114</f>
        <v>0</v>
      </c>
      <c r="M104" s="974">
        <f>'Infra Build BOQ'!Y114</f>
        <v>0</v>
      </c>
      <c r="N104" s="975">
        <f>'Infra Build BOQ'!Z114</f>
        <v>0</v>
      </c>
      <c r="O104" s="976">
        <f>'Infra Build BOQ'!AA114</f>
        <v>0</v>
      </c>
      <c r="P104" s="973">
        <f>'Infra Build BOQ'!AB114</f>
        <v>0</v>
      </c>
      <c r="Q104" s="974">
        <f>'Infra Build BOQ'!AC114</f>
        <v>0</v>
      </c>
      <c r="R104" s="975">
        <f>'Infra Build BOQ'!AD114</f>
        <v>0</v>
      </c>
      <c r="S104" s="976">
        <f>'Infra Build BOQ'!AE114</f>
        <v>0</v>
      </c>
      <c r="T104" s="973">
        <f>'Infra Build BOQ'!AF114</f>
        <v>0</v>
      </c>
      <c r="U104" s="974">
        <f>'Infra Build BOQ'!AG114</f>
        <v>0</v>
      </c>
      <c r="V104" s="975">
        <f>'Infra Build BOQ'!AH114</f>
        <v>0</v>
      </c>
      <c r="W104" s="976">
        <f>'Infra Build BOQ'!AI114</f>
        <v>0</v>
      </c>
      <c r="X104" s="974">
        <f>'Infra Build BOQ'!AJ114</f>
        <v>0</v>
      </c>
      <c r="Y104" s="975">
        <f>'Infra Build BOQ'!AK114</f>
        <v>0</v>
      </c>
      <c r="Z104" s="977">
        <f>'Infra Build BOQ'!AL114</f>
        <v>0</v>
      </c>
    </row>
    <row r="105" spans="2:26" s="296" customFormat="1">
      <c r="B105" s="963">
        <f>'Master BOQ Pricing_2018-01-08'!B124</f>
        <v>8</v>
      </c>
      <c r="C105" s="964" t="str">
        <f>'Master BOQ Pricing_2018-01-08'!C124</f>
        <v>IN-BUILDING INSTALLATION</v>
      </c>
      <c r="D105" s="965"/>
      <c r="E105" s="966"/>
      <c r="F105" s="978"/>
      <c r="G105" s="979"/>
      <c r="H105" s="980"/>
      <c r="I105" s="981"/>
      <c r="J105" s="982"/>
      <c r="K105" s="983"/>
      <c r="L105" s="980"/>
      <c r="M105" s="981"/>
      <c r="N105" s="982"/>
      <c r="O105" s="983"/>
      <c r="P105" s="980"/>
      <c r="Q105" s="981"/>
      <c r="R105" s="982"/>
      <c r="S105" s="983"/>
      <c r="T105" s="980"/>
      <c r="U105" s="981"/>
      <c r="V105" s="982"/>
      <c r="W105" s="983"/>
      <c r="X105" s="981"/>
      <c r="Y105" s="982"/>
      <c r="Z105" s="984"/>
    </row>
    <row r="106" spans="2:26" s="296" customFormat="1">
      <c r="B106" s="952">
        <f>'Master BOQ Pricing_2018-01-08'!B125</f>
        <v>8.01</v>
      </c>
      <c r="C106" s="953" t="str">
        <f>'Master BOQ Pricing_2018-01-08'!C125</f>
        <v>External wall core drilling - diameter 50mm - 130mm (Building outer wall ≤250mm wide)</v>
      </c>
      <c r="D106" s="954" t="str">
        <f>'Master BOQ Pricing_2018-01-08'!D125</f>
        <v>ea</v>
      </c>
      <c r="E106" s="955">
        <f>'Master BOQ Pricing_2018-01-08'!E125</f>
        <v>200</v>
      </c>
      <c r="F106" s="956">
        <f>'Infra Build BOQ'!F125</f>
        <v>0</v>
      </c>
      <c r="G106" s="957">
        <f>'Infra Build BOQ'!G125</f>
        <v>0</v>
      </c>
      <c r="H106" s="973">
        <f>'Infra Build BOQ'!T125</f>
        <v>0</v>
      </c>
      <c r="I106" s="974">
        <f>'Infra Build BOQ'!U125</f>
        <v>0</v>
      </c>
      <c r="J106" s="975">
        <f>'Infra Build BOQ'!V125</f>
        <v>0</v>
      </c>
      <c r="K106" s="976">
        <f>'Infra Build BOQ'!W125</f>
        <v>0</v>
      </c>
      <c r="L106" s="973">
        <f>'Infra Build BOQ'!X125</f>
        <v>0</v>
      </c>
      <c r="M106" s="974">
        <f>'Infra Build BOQ'!Y125</f>
        <v>0</v>
      </c>
      <c r="N106" s="975">
        <f>'Infra Build BOQ'!Z125</f>
        <v>0</v>
      </c>
      <c r="O106" s="976">
        <f>'Infra Build BOQ'!AA125</f>
        <v>0</v>
      </c>
      <c r="P106" s="973">
        <f>'Infra Build BOQ'!AB125</f>
        <v>0</v>
      </c>
      <c r="Q106" s="974">
        <f>'Infra Build BOQ'!AC125</f>
        <v>0</v>
      </c>
      <c r="R106" s="975">
        <f>'Infra Build BOQ'!AD125</f>
        <v>0</v>
      </c>
      <c r="S106" s="976">
        <f>'Infra Build BOQ'!AE125</f>
        <v>0</v>
      </c>
      <c r="T106" s="973">
        <f>'Infra Build BOQ'!AF125</f>
        <v>0</v>
      </c>
      <c r="U106" s="974">
        <f>'Infra Build BOQ'!AG125</f>
        <v>0</v>
      </c>
      <c r="V106" s="975">
        <f>'Infra Build BOQ'!AH125</f>
        <v>0</v>
      </c>
      <c r="W106" s="976">
        <f>'Infra Build BOQ'!AI125</f>
        <v>0</v>
      </c>
      <c r="X106" s="974">
        <f>'Infra Build BOQ'!AJ125</f>
        <v>0</v>
      </c>
      <c r="Y106" s="975">
        <f>'Infra Build BOQ'!AK125</f>
        <v>0</v>
      </c>
      <c r="Z106" s="977">
        <f>'Infra Build BOQ'!AL125</f>
        <v>0</v>
      </c>
    </row>
    <row r="107" spans="2:26" s="296" customFormat="1">
      <c r="B107" s="952">
        <f>'Master BOQ Pricing_2018-01-08'!B126</f>
        <v>8.02</v>
      </c>
      <c r="C107" s="953" t="str">
        <f>'Master BOQ Pricing_2018-01-08'!C126</f>
        <v>External wall core drilling - diameter &gt;150mm (Building outer wall &gt; 250mm wide)</v>
      </c>
      <c r="D107" s="954" t="str">
        <f>'Master BOQ Pricing_2018-01-08'!D126</f>
        <v>ea</v>
      </c>
      <c r="E107" s="955">
        <f>'Master BOQ Pricing_2018-01-08'!E126</f>
        <v>480</v>
      </c>
      <c r="F107" s="956">
        <f>'Infra Build BOQ'!F126</f>
        <v>0</v>
      </c>
      <c r="G107" s="957">
        <f>'Infra Build BOQ'!G126</f>
        <v>0</v>
      </c>
      <c r="H107" s="973">
        <f>'Infra Build BOQ'!T126</f>
        <v>0</v>
      </c>
      <c r="I107" s="974">
        <f>'Infra Build BOQ'!U126</f>
        <v>0</v>
      </c>
      <c r="J107" s="975">
        <f>'Infra Build BOQ'!V126</f>
        <v>0</v>
      </c>
      <c r="K107" s="976">
        <f>'Infra Build BOQ'!W126</f>
        <v>0</v>
      </c>
      <c r="L107" s="973">
        <f>'Infra Build BOQ'!X126</f>
        <v>0</v>
      </c>
      <c r="M107" s="974">
        <f>'Infra Build BOQ'!Y126</f>
        <v>0</v>
      </c>
      <c r="N107" s="975">
        <f>'Infra Build BOQ'!Z126</f>
        <v>0</v>
      </c>
      <c r="O107" s="976">
        <f>'Infra Build BOQ'!AA126</f>
        <v>0</v>
      </c>
      <c r="P107" s="973">
        <f>'Infra Build BOQ'!AB126</f>
        <v>0</v>
      </c>
      <c r="Q107" s="974">
        <f>'Infra Build BOQ'!AC126</f>
        <v>0</v>
      </c>
      <c r="R107" s="975">
        <f>'Infra Build BOQ'!AD126</f>
        <v>0</v>
      </c>
      <c r="S107" s="976">
        <f>'Infra Build BOQ'!AE126</f>
        <v>0</v>
      </c>
      <c r="T107" s="973">
        <f>'Infra Build BOQ'!AF126</f>
        <v>0</v>
      </c>
      <c r="U107" s="974">
        <f>'Infra Build BOQ'!AG126</f>
        <v>0</v>
      </c>
      <c r="V107" s="975">
        <f>'Infra Build BOQ'!AH126</f>
        <v>0</v>
      </c>
      <c r="W107" s="976">
        <f>'Infra Build BOQ'!AI126</f>
        <v>0</v>
      </c>
      <c r="X107" s="974">
        <f>'Infra Build BOQ'!AJ126</f>
        <v>0</v>
      </c>
      <c r="Y107" s="975">
        <f>'Infra Build BOQ'!AK126</f>
        <v>0</v>
      </c>
      <c r="Z107" s="977">
        <f>'Infra Build BOQ'!AL126</f>
        <v>0</v>
      </c>
    </row>
    <row r="108" spans="2:26" s="296" customFormat="1">
      <c r="B108" s="952">
        <f>'Master BOQ Pricing_2018-01-08'!B127</f>
        <v>8.0299999999999994</v>
      </c>
      <c r="C108" s="953" t="str">
        <f>'Master BOQ Pricing_2018-01-08'!C127</f>
        <v>Core drilling (Concrete apron 300mm deep x 75mm diameter)</v>
      </c>
      <c r="D108" s="954" t="str">
        <f>'Master BOQ Pricing_2018-01-08'!D127</f>
        <v>ea</v>
      </c>
      <c r="E108" s="955">
        <f>'Master BOQ Pricing_2018-01-08'!E127</f>
        <v>450</v>
      </c>
      <c r="F108" s="956">
        <f>'Infra Build BOQ'!F127</f>
        <v>0</v>
      </c>
      <c r="G108" s="957">
        <f>'Infra Build BOQ'!G127</f>
        <v>0</v>
      </c>
      <c r="H108" s="973">
        <f>'Infra Build BOQ'!T127</f>
        <v>0</v>
      </c>
      <c r="I108" s="974">
        <f>'Infra Build BOQ'!U127</f>
        <v>0</v>
      </c>
      <c r="J108" s="975">
        <f>'Infra Build BOQ'!V127</f>
        <v>0</v>
      </c>
      <c r="K108" s="976">
        <f>'Infra Build BOQ'!W127</f>
        <v>0</v>
      </c>
      <c r="L108" s="973">
        <f>'Infra Build BOQ'!X127</f>
        <v>0</v>
      </c>
      <c r="M108" s="974">
        <f>'Infra Build BOQ'!Y127</f>
        <v>0</v>
      </c>
      <c r="N108" s="975">
        <f>'Infra Build BOQ'!Z127</f>
        <v>0</v>
      </c>
      <c r="O108" s="976">
        <f>'Infra Build BOQ'!AA127</f>
        <v>0</v>
      </c>
      <c r="P108" s="973">
        <f>'Infra Build BOQ'!AB127</f>
        <v>0</v>
      </c>
      <c r="Q108" s="974">
        <f>'Infra Build BOQ'!AC127</f>
        <v>0</v>
      </c>
      <c r="R108" s="975">
        <f>'Infra Build BOQ'!AD127</f>
        <v>0</v>
      </c>
      <c r="S108" s="976">
        <f>'Infra Build BOQ'!AE127</f>
        <v>0</v>
      </c>
      <c r="T108" s="973">
        <f>'Infra Build BOQ'!AF127</f>
        <v>0</v>
      </c>
      <c r="U108" s="974">
        <f>'Infra Build BOQ'!AG127</f>
        <v>0</v>
      </c>
      <c r="V108" s="975">
        <f>'Infra Build BOQ'!AH127</f>
        <v>0</v>
      </c>
      <c r="W108" s="976">
        <f>'Infra Build BOQ'!AI127</f>
        <v>0</v>
      </c>
      <c r="X108" s="974">
        <f>'Infra Build BOQ'!AJ127</f>
        <v>0</v>
      </c>
      <c r="Y108" s="975">
        <f>'Infra Build BOQ'!AK127</f>
        <v>0</v>
      </c>
      <c r="Z108" s="977">
        <f>'Infra Build BOQ'!AL127</f>
        <v>0</v>
      </c>
    </row>
    <row r="109" spans="2:26" s="296" customFormat="1">
      <c r="B109" s="952">
        <f>'Master BOQ Pricing_2018-01-08'!B128</f>
        <v>8.0399999999999991</v>
      </c>
      <c r="C109" s="953" t="str">
        <f>'Master BOQ Pricing_2018-01-08'!C128</f>
        <v>Supply and install 25mm PVC duct against building/Trunking</v>
      </c>
      <c r="D109" s="954" t="str">
        <f>'Master BOQ Pricing_2018-01-08'!D128</f>
        <v>m</v>
      </c>
      <c r="E109" s="955">
        <f>'Master BOQ Pricing_2018-01-08'!E128</f>
        <v>16.39</v>
      </c>
      <c r="F109" s="956">
        <f>'Infra Build BOQ'!F128</f>
        <v>49</v>
      </c>
      <c r="G109" s="957">
        <f>'Infra Build BOQ'!G128</f>
        <v>803.11</v>
      </c>
      <c r="H109" s="973">
        <f>'Infra Build BOQ'!T128</f>
        <v>0</v>
      </c>
      <c r="I109" s="974">
        <f>'Infra Build BOQ'!U128</f>
        <v>49</v>
      </c>
      <c r="J109" s="975">
        <f>'Infra Build BOQ'!V128</f>
        <v>803.11</v>
      </c>
      <c r="K109" s="976">
        <f>'Infra Build BOQ'!W128</f>
        <v>0</v>
      </c>
      <c r="L109" s="973">
        <f>'Infra Build BOQ'!X128</f>
        <v>0</v>
      </c>
      <c r="M109" s="974">
        <f>'Infra Build BOQ'!Y128</f>
        <v>49</v>
      </c>
      <c r="N109" s="975">
        <f>'Infra Build BOQ'!Z128</f>
        <v>803.11</v>
      </c>
      <c r="O109" s="976">
        <f>'Infra Build BOQ'!AA128</f>
        <v>0</v>
      </c>
      <c r="P109" s="973">
        <f>'Infra Build BOQ'!AB128</f>
        <v>0</v>
      </c>
      <c r="Q109" s="974">
        <f>'Infra Build BOQ'!AC128</f>
        <v>49</v>
      </c>
      <c r="R109" s="975">
        <f>'Infra Build BOQ'!AD128</f>
        <v>803.11</v>
      </c>
      <c r="S109" s="976">
        <f>'Infra Build BOQ'!AE128</f>
        <v>0</v>
      </c>
      <c r="T109" s="973">
        <f>'Infra Build BOQ'!AF128</f>
        <v>0</v>
      </c>
      <c r="U109" s="974">
        <f>'Infra Build BOQ'!AG128</f>
        <v>49</v>
      </c>
      <c r="V109" s="975">
        <f>'Infra Build BOQ'!AH128</f>
        <v>803.11</v>
      </c>
      <c r="W109" s="976">
        <f>'Infra Build BOQ'!AI128</f>
        <v>0</v>
      </c>
      <c r="X109" s="974">
        <f>'Infra Build BOQ'!AJ128</f>
        <v>0</v>
      </c>
      <c r="Y109" s="975">
        <f>'Infra Build BOQ'!AK128</f>
        <v>0</v>
      </c>
      <c r="Z109" s="977">
        <f>'Infra Build BOQ'!AL128</f>
        <v>0</v>
      </c>
    </row>
    <row r="110" spans="2:26" s="296" customFormat="1">
      <c r="B110" s="952">
        <f>'Master BOQ Pricing_2018-01-08'!B129</f>
        <v>8.0500000000000007</v>
      </c>
      <c r="C110" s="953" t="str">
        <f>'Master BOQ Pricing_2018-01-08'!C129</f>
        <v>Supply and install 25mm Galvanised Bosal Pipe duct against building</v>
      </c>
      <c r="D110" s="954" t="str">
        <f>'Master BOQ Pricing_2018-01-08'!D129</f>
        <v>m</v>
      </c>
      <c r="E110" s="955">
        <f>'Master BOQ Pricing_2018-01-08'!E129</f>
        <v>27.79</v>
      </c>
      <c r="F110" s="956">
        <f>'Infra Build BOQ'!F129</f>
        <v>0</v>
      </c>
      <c r="G110" s="957">
        <f>'Infra Build BOQ'!G129</f>
        <v>0</v>
      </c>
      <c r="H110" s="973">
        <f>'Infra Build BOQ'!T129</f>
        <v>0</v>
      </c>
      <c r="I110" s="974">
        <f>'Infra Build BOQ'!U129</f>
        <v>0</v>
      </c>
      <c r="J110" s="975">
        <f>'Infra Build BOQ'!V129</f>
        <v>0</v>
      </c>
      <c r="K110" s="976">
        <f>'Infra Build BOQ'!W129</f>
        <v>0</v>
      </c>
      <c r="L110" s="973">
        <f>'Infra Build BOQ'!X129</f>
        <v>0</v>
      </c>
      <c r="M110" s="974">
        <f>'Infra Build BOQ'!Y129</f>
        <v>0</v>
      </c>
      <c r="N110" s="975">
        <f>'Infra Build BOQ'!Z129</f>
        <v>0</v>
      </c>
      <c r="O110" s="976">
        <f>'Infra Build BOQ'!AA129</f>
        <v>0</v>
      </c>
      <c r="P110" s="973">
        <f>'Infra Build BOQ'!AB129</f>
        <v>0</v>
      </c>
      <c r="Q110" s="974">
        <f>'Infra Build BOQ'!AC129</f>
        <v>0</v>
      </c>
      <c r="R110" s="975">
        <f>'Infra Build BOQ'!AD129</f>
        <v>0</v>
      </c>
      <c r="S110" s="976">
        <f>'Infra Build BOQ'!AE129</f>
        <v>0</v>
      </c>
      <c r="T110" s="973">
        <f>'Infra Build BOQ'!AF129</f>
        <v>0</v>
      </c>
      <c r="U110" s="974">
        <f>'Infra Build BOQ'!AG129</f>
        <v>0</v>
      </c>
      <c r="V110" s="975">
        <f>'Infra Build BOQ'!AH129</f>
        <v>0</v>
      </c>
      <c r="W110" s="976">
        <f>'Infra Build BOQ'!AI129</f>
        <v>0</v>
      </c>
      <c r="X110" s="974">
        <f>'Infra Build BOQ'!AJ129</f>
        <v>0</v>
      </c>
      <c r="Y110" s="975">
        <f>'Infra Build BOQ'!AK129</f>
        <v>0</v>
      </c>
      <c r="Z110" s="977">
        <f>'Infra Build BOQ'!AL129</f>
        <v>0</v>
      </c>
    </row>
    <row r="111" spans="2:26" s="296" customFormat="1">
      <c r="B111" s="952">
        <f>'Master BOQ Pricing_2018-01-08'!B130</f>
        <v>8.06</v>
      </c>
      <c r="C111" s="953" t="str">
        <f>'Master BOQ Pricing_2018-01-08'!C130</f>
        <v>Supply and install 50mm galvanised bosal against building (2 storey high)</v>
      </c>
      <c r="D111" s="954" t="str">
        <f>'Master BOQ Pricing_2018-01-08'!D130</f>
        <v>m</v>
      </c>
      <c r="E111" s="955">
        <f>'Master BOQ Pricing_2018-01-08'!E130</f>
        <v>82.3</v>
      </c>
      <c r="F111" s="956">
        <f>'Infra Build BOQ'!F130</f>
        <v>0</v>
      </c>
      <c r="G111" s="957">
        <f>'Infra Build BOQ'!G130</f>
        <v>0</v>
      </c>
      <c r="H111" s="973">
        <f>'Infra Build BOQ'!T130</f>
        <v>0</v>
      </c>
      <c r="I111" s="974">
        <f>'Infra Build BOQ'!U130</f>
        <v>0</v>
      </c>
      <c r="J111" s="975">
        <f>'Infra Build BOQ'!V130</f>
        <v>0</v>
      </c>
      <c r="K111" s="976">
        <f>'Infra Build BOQ'!W130</f>
        <v>0</v>
      </c>
      <c r="L111" s="973">
        <f>'Infra Build BOQ'!X130</f>
        <v>0</v>
      </c>
      <c r="M111" s="974">
        <f>'Infra Build BOQ'!Y130</f>
        <v>0</v>
      </c>
      <c r="N111" s="975">
        <f>'Infra Build BOQ'!Z130</f>
        <v>0</v>
      </c>
      <c r="O111" s="976">
        <f>'Infra Build BOQ'!AA130</f>
        <v>0</v>
      </c>
      <c r="P111" s="973">
        <f>'Infra Build BOQ'!AB130</f>
        <v>0</v>
      </c>
      <c r="Q111" s="974">
        <f>'Infra Build BOQ'!AC130</f>
        <v>0</v>
      </c>
      <c r="R111" s="975">
        <f>'Infra Build BOQ'!AD130</f>
        <v>0</v>
      </c>
      <c r="S111" s="976">
        <f>'Infra Build BOQ'!AE130</f>
        <v>0</v>
      </c>
      <c r="T111" s="973">
        <f>'Infra Build BOQ'!AF130</f>
        <v>0</v>
      </c>
      <c r="U111" s="974">
        <f>'Infra Build BOQ'!AG130</f>
        <v>0</v>
      </c>
      <c r="V111" s="975">
        <f>'Infra Build BOQ'!AH130</f>
        <v>0</v>
      </c>
      <c r="W111" s="976">
        <f>'Infra Build BOQ'!AI130</f>
        <v>0</v>
      </c>
      <c r="X111" s="974">
        <f>'Infra Build BOQ'!AJ130</f>
        <v>0</v>
      </c>
      <c r="Y111" s="975">
        <f>'Infra Build BOQ'!AK130</f>
        <v>0</v>
      </c>
      <c r="Z111" s="977">
        <f>'Infra Build BOQ'!AL130</f>
        <v>0</v>
      </c>
    </row>
    <row r="112" spans="2:26" s="296" customFormat="1">
      <c r="B112" s="952">
        <f>'Master BOQ Pricing_2018-01-08'!B131</f>
        <v>8.07</v>
      </c>
      <c r="C112" s="953" t="str">
        <f>'Master BOQ Pricing_2018-01-08'!C131</f>
        <v xml:space="preserve">Supply and Install 50mm galvanised bosal against building (exceeding 2 storey high) </v>
      </c>
      <c r="D112" s="954" t="str">
        <f>'Master BOQ Pricing_2018-01-08'!D131</f>
        <v>m</v>
      </c>
      <c r="E112" s="955">
        <f>'Master BOQ Pricing_2018-01-08'!E131</f>
        <v>102.47</v>
      </c>
      <c r="F112" s="956">
        <f>'Infra Build BOQ'!F131</f>
        <v>0</v>
      </c>
      <c r="G112" s="957">
        <f>'Infra Build BOQ'!G131</f>
        <v>0</v>
      </c>
      <c r="H112" s="973">
        <f>'Infra Build BOQ'!T131</f>
        <v>0</v>
      </c>
      <c r="I112" s="974">
        <f>'Infra Build BOQ'!U131</f>
        <v>0</v>
      </c>
      <c r="J112" s="975">
        <f>'Infra Build BOQ'!V131</f>
        <v>0</v>
      </c>
      <c r="K112" s="976">
        <f>'Infra Build BOQ'!W131</f>
        <v>0</v>
      </c>
      <c r="L112" s="973">
        <f>'Infra Build BOQ'!X131</f>
        <v>0</v>
      </c>
      <c r="M112" s="974">
        <f>'Infra Build BOQ'!Y131</f>
        <v>0</v>
      </c>
      <c r="N112" s="975">
        <f>'Infra Build BOQ'!Z131</f>
        <v>0</v>
      </c>
      <c r="O112" s="976">
        <f>'Infra Build BOQ'!AA131</f>
        <v>0</v>
      </c>
      <c r="P112" s="973">
        <f>'Infra Build BOQ'!AB131</f>
        <v>0</v>
      </c>
      <c r="Q112" s="974">
        <f>'Infra Build BOQ'!AC131</f>
        <v>0</v>
      </c>
      <c r="R112" s="975">
        <f>'Infra Build BOQ'!AD131</f>
        <v>0</v>
      </c>
      <c r="S112" s="976">
        <f>'Infra Build BOQ'!AE131</f>
        <v>0</v>
      </c>
      <c r="T112" s="973">
        <f>'Infra Build BOQ'!AF131</f>
        <v>0</v>
      </c>
      <c r="U112" s="974">
        <f>'Infra Build BOQ'!AG131</f>
        <v>0</v>
      </c>
      <c r="V112" s="975">
        <f>'Infra Build BOQ'!AH131</f>
        <v>0</v>
      </c>
      <c r="W112" s="976">
        <f>'Infra Build BOQ'!AI131</f>
        <v>0</v>
      </c>
      <c r="X112" s="974">
        <f>'Infra Build BOQ'!AJ131</f>
        <v>0</v>
      </c>
      <c r="Y112" s="975">
        <f>'Infra Build BOQ'!AK131</f>
        <v>0</v>
      </c>
      <c r="Z112" s="977">
        <f>'Infra Build BOQ'!AL131</f>
        <v>0</v>
      </c>
    </row>
    <row r="113" spans="2:26" s="296" customFormat="1">
      <c r="B113" s="952">
        <f>'Master BOQ Pricing_2018-01-08'!B132</f>
        <v>8.08</v>
      </c>
      <c r="C113" s="953" t="str">
        <f>'Master BOQ Pricing_2018-01-08'!C132</f>
        <v>Supply and Install 90° Bosal Bend</v>
      </c>
      <c r="D113" s="954" t="str">
        <f>'Master BOQ Pricing_2018-01-08'!D132</f>
        <v>ea</v>
      </c>
      <c r="E113" s="955">
        <f>'Master BOQ Pricing_2018-01-08'!E132</f>
        <v>130</v>
      </c>
      <c r="F113" s="956">
        <f>'Infra Build BOQ'!F132</f>
        <v>0</v>
      </c>
      <c r="G113" s="957">
        <f>'Infra Build BOQ'!G132</f>
        <v>0</v>
      </c>
      <c r="H113" s="973">
        <f>'Infra Build BOQ'!T132</f>
        <v>0</v>
      </c>
      <c r="I113" s="974">
        <f>'Infra Build BOQ'!U132</f>
        <v>0</v>
      </c>
      <c r="J113" s="975">
        <f>'Infra Build BOQ'!V132</f>
        <v>0</v>
      </c>
      <c r="K113" s="976">
        <f>'Infra Build BOQ'!W132</f>
        <v>0</v>
      </c>
      <c r="L113" s="973">
        <f>'Infra Build BOQ'!X132</f>
        <v>0</v>
      </c>
      <c r="M113" s="974">
        <f>'Infra Build BOQ'!Y132</f>
        <v>0</v>
      </c>
      <c r="N113" s="975">
        <f>'Infra Build BOQ'!Z132</f>
        <v>0</v>
      </c>
      <c r="O113" s="976">
        <f>'Infra Build BOQ'!AA132</f>
        <v>0</v>
      </c>
      <c r="P113" s="973">
        <f>'Infra Build BOQ'!AB132</f>
        <v>0</v>
      </c>
      <c r="Q113" s="974">
        <f>'Infra Build BOQ'!AC132</f>
        <v>0</v>
      </c>
      <c r="R113" s="975">
        <f>'Infra Build BOQ'!AD132</f>
        <v>0</v>
      </c>
      <c r="S113" s="976">
        <f>'Infra Build BOQ'!AE132</f>
        <v>0</v>
      </c>
      <c r="T113" s="973">
        <f>'Infra Build BOQ'!AF132</f>
        <v>0</v>
      </c>
      <c r="U113" s="974">
        <f>'Infra Build BOQ'!AG132</f>
        <v>0</v>
      </c>
      <c r="V113" s="975">
        <f>'Infra Build BOQ'!AH132</f>
        <v>0</v>
      </c>
      <c r="W113" s="976">
        <f>'Infra Build BOQ'!AI132</f>
        <v>0</v>
      </c>
      <c r="X113" s="974">
        <f>'Infra Build BOQ'!AJ132</f>
        <v>0</v>
      </c>
      <c r="Y113" s="975">
        <f>'Infra Build BOQ'!AK132</f>
        <v>0</v>
      </c>
      <c r="Z113" s="977">
        <f>'Infra Build BOQ'!AL132</f>
        <v>0</v>
      </c>
    </row>
    <row r="114" spans="2:26" s="296" customFormat="1">
      <c r="B114" s="952">
        <f>'Master BOQ Pricing_2018-01-08'!B133</f>
        <v>8.09</v>
      </c>
      <c r="C114" s="953" t="str">
        <f>'Master BOQ Pricing_2018-01-08'!C133</f>
        <v>Supply and Install Coupling 50mm Bosal</v>
      </c>
      <c r="D114" s="954" t="str">
        <f>'Master BOQ Pricing_2018-01-08'!D133</f>
        <v>ea</v>
      </c>
      <c r="E114" s="955">
        <f>'Master BOQ Pricing_2018-01-08'!E133</f>
        <v>50</v>
      </c>
      <c r="F114" s="956">
        <f>'Infra Build BOQ'!F133</f>
        <v>0</v>
      </c>
      <c r="G114" s="957">
        <f>'Infra Build BOQ'!G133</f>
        <v>0</v>
      </c>
      <c r="H114" s="973">
        <f>'Infra Build BOQ'!T133</f>
        <v>0</v>
      </c>
      <c r="I114" s="974">
        <f>'Infra Build BOQ'!U133</f>
        <v>0</v>
      </c>
      <c r="J114" s="975">
        <f>'Infra Build BOQ'!V133</f>
        <v>0</v>
      </c>
      <c r="K114" s="976">
        <f>'Infra Build BOQ'!W133</f>
        <v>0</v>
      </c>
      <c r="L114" s="973">
        <f>'Infra Build BOQ'!X133</f>
        <v>0</v>
      </c>
      <c r="M114" s="974">
        <f>'Infra Build BOQ'!Y133</f>
        <v>0</v>
      </c>
      <c r="N114" s="975">
        <f>'Infra Build BOQ'!Z133</f>
        <v>0</v>
      </c>
      <c r="O114" s="976">
        <f>'Infra Build BOQ'!AA133</f>
        <v>0</v>
      </c>
      <c r="P114" s="973">
        <f>'Infra Build BOQ'!AB133</f>
        <v>0</v>
      </c>
      <c r="Q114" s="974">
        <f>'Infra Build BOQ'!AC133</f>
        <v>0</v>
      </c>
      <c r="R114" s="975">
        <f>'Infra Build BOQ'!AD133</f>
        <v>0</v>
      </c>
      <c r="S114" s="976">
        <f>'Infra Build BOQ'!AE133</f>
        <v>0</v>
      </c>
      <c r="T114" s="973">
        <f>'Infra Build BOQ'!AF133</f>
        <v>0</v>
      </c>
      <c r="U114" s="974">
        <f>'Infra Build BOQ'!AG133</f>
        <v>0</v>
      </c>
      <c r="V114" s="975">
        <f>'Infra Build BOQ'!AH133</f>
        <v>0</v>
      </c>
      <c r="W114" s="976">
        <f>'Infra Build BOQ'!AI133</f>
        <v>0</v>
      </c>
      <c r="X114" s="974">
        <f>'Infra Build BOQ'!AJ133</f>
        <v>0</v>
      </c>
      <c r="Y114" s="975">
        <f>'Infra Build BOQ'!AK133</f>
        <v>0</v>
      </c>
      <c r="Z114" s="977">
        <f>'Infra Build BOQ'!AL133</f>
        <v>0</v>
      </c>
    </row>
    <row r="115" spans="2:26" s="296" customFormat="1">
      <c r="B115" s="952">
        <f>'Master BOQ Pricing_2018-01-08'!B134</f>
        <v>8.1</v>
      </c>
      <c r="C115" s="953" t="str">
        <f>'Master BOQ Pricing_2018-01-08'!C134</f>
        <v>Supply and install 50mm pvc pipe (2 storey high)</v>
      </c>
      <c r="D115" s="954" t="str">
        <f>'Master BOQ Pricing_2018-01-08'!D134</f>
        <v>m</v>
      </c>
      <c r="E115" s="955">
        <f>'Master BOQ Pricing_2018-01-08'!E134</f>
        <v>40</v>
      </c>
      <c r="F115" s="956">
        <f>'Infra Build BOQ'!F134</f>
        <v>0</v>
      </c>
      <c r="G115" s="957">
        <f>'Infra Build BOQ'!G134</f>
        <v>0</v>
      </c>
      <c r="H115" s="973">
        <f>'Infra Build BOQ'!T134</f>
        <v>0</v>
      </c>
      <c r="I115" s="974">
        <f>'Infra Build BOQ'!U134</f>
        <v>0</v>
      </c>
      <c r="J115" s="975">
        <f>'Infra Build BOQ'!V134</f>
        <v>0</v>
      </c>
      <c r="K115" s="976">
        <f>'Infra Build BOQ'!W134</f>
        <v>0</v>
      </c>
      <c r="L115" s="973">
        <f>'Infra Build BOQ'!X134</f>
        <v>0</v>
      </c>
      <c r="M115" s="974">
        <f>'Infra Build BOQ'!Y134</f>
        <v>0</v>
      </c>
      <c r="N115" s="975">
        <f>'Infra Build BOQ'!Z134</f>
        <v>0</v>
      </c>
      <c r="O115" s="976">
        <f>'Infra Build BOQ'!AA134</f>
        <v>0</v>
      </c>
      <c r="P115" s="973">
        <f>'Infra Build BOQ'!AB134</f>
        <v>0</v>
      </c>
      <c r="Q115" s="974">
        <f>'Infra Build BOQ'!AC134</f>
        <v>0</v>
      </c>
      <c r="R115" s="975">
        <f>'Infra Build BOQ'!AD134</f>
        <v>0</v>
      </c>
      <c r="S115" s="976">
        <f>'Infra Build BOQ'!AE134</f>
        <v>0</v>
      </c>
      <c r="T115" s="973">
        <f>'Infra Build BOQ'!AF134</f>
        <v>0</v>
      </c>
      <c r="U115" s="974">
        <f>'Infra Build BOQ'!AG134</f>
        <v>0</v>
      </c>
      <c r="V115" s="975">
        <f>'Infra Build BOQ'!AH134</f>
        <v>0</v>
      </c>
      <c r="W115" s="976">
        <f>'Infra Build BOQ'!AI134</f>
        <v>0</v>
      </c>
      <c r="X115" s="974">
        <f>'Infra Build BOQ'!AJ134</f>
        <v>0</v>
      </c>
      <c r="Y115" s="975">
        <f>'Infra Build BOQ'!AK134</f>
        <v>0</v>
      </c>
      <c r="Z115" s="977">
        <f>'Infra Build BOQ'!AL134</f>
        <v>0</v>
      </c>
    </row>
    <row r="116" spans="2:26" s="296" customFormat="1">
      <c r="B116" s="952">
        <f>'Master BOQ Pricing_2018-01-08'!B135</f>
        <v>8.11</v>
      </c>
      <c r="C116" s="953" t="str">
        <f>'Master BOQ Pricing_2018-01-08'!C135</f>
        <v>Supply and install 50mm pvc pipe (exceeding 2 storey high)</v>
      </c>
      <c r="D116" s="954" t="str">
        <f>'Master BOQ Pricing_2018-01-08'!D135</f>
        <v>m</v>
      </c>
      <c r="E116" s="955">
        <f>'Master BOQ Pricing_2018-01-08'!E135</f>
        <v>60</v>
      </c>
      <c r="F116" s="956">
        <f>'Infra Build BOQ'!F135</f>
        <v>0</v>
      </c>
      <c r="G116" s="957">
        <f>'Infra Build BOQ'!G135</f>
        <v>0</v>
      </c>
      <c r="H116" s="973">
        <f>'Infra Build BOQ'!T135</f>
        <v>0</v>
      </c>
      <c r="I116" s="974">
        <f>'Infra Build BOQ'!U135</f>
        <v>0</v>
      </c>
      <c r="J116" s="975">
        <f>'Infra Build BOQ'!V135</f>
        <v>0</v>
      </c>
      <c r="K116" s="976">
        <f>'Infra Build BOQ'!W135</f>
        <v>0</v>
      </c>
      <c r="L116" s="973">
        <f>'Infra Build BOQ'!X135</f>
        <v>0</v>
      </c>
      <c r="M116" s="974">
        <f>'Infra Build BOQ'!Y135</f>
        <v>0</v>
      </c>
      <c r="N116" s="975">
        <f>'Infra Build BOQ'!Z135</f>
        <v>0</v>
      </c>
      <c r="O116" s="976">
        <f>'Infra Build BOQ'!AA135</f>
        <v>0</v>
      </c>
      <c r="P116" s="973">
        <f>'Infra Build BOQ'!AB135</f>
        <v>0</v>
      </c>
      <c r="Q116" s="974">
        <f>'Infra Build BOQ'!AC135</f>
        <v>0</v>
      </c>
      <c r="R116" s="975">
        <f>'Infra Build BOQ'!AD135</f>
        <v>0</v>
      </c>
      <c r="S116" s="976">
        <f>'Infra Build BOQ'!AE135</f>
        <v>0</v>
      </c>
      <c r="T116" s="973">
        <f>'Infra Build BOQ'!AF135</f>
        <v>0</v>
      </c>
      <c r="U116" s="974">
        <f>'Infra Build BOQ'!AG135</f>
        <v>0</v>
      </c>
      <c r="V116" s="975">
        <f>'Infra Build BOQ'!AH135</f>
        <v>0</v>
      </c>
      <c r="W116" s="976">
        <f>'Infra Build BOQ'!AI135</f>
        <v>0</v>
      </c>
      <c r="X116" s="974">
        <f>'Infra Build BOQ'!AJ135</f>
        <v>0</v>
      </c>
      <c r="Y116" s="975">
        <f>'Infra Build BOQ'!AK135</f>
        <v>0</v>
      </c>
      <c r="Z116" s="977">
        <f>'Infra Build BOQ'!AL135</f>
        <v>0</v>
      </c>
    </row>
    <row r="117" spans="2:26" s="296" customFormat="1">
      <c r="B117" s="952">
        <f>'Master BOQ Pricing_2018-01-08'!B136</f>
        <v>8.1199999999999992</v>
      </c>
      <c r="C117" s="953" t="str">
        <f>'Master BOQ Pricing_2018-01-08'!C136</f>
        <v xml:space="preserve">Supply and install 75mm x 50mm galvanised trunking against building (2 storey high) </v>
      </c>
      <c r="D117" s="954" t="str">
        <f>'Master BOQ Pricing_2018-01-08'!D136</f>
        <v>m</v>
      </c>
      <c r="E117" s="955">
        <f>'Master BOQ Pricing_2018-01-08'!E136</f>
        <v>61.17</v>
      </c>
      <c r="F117" s="956">
        <f>'Infra Build BOQ'!F136</f>
        <v>0</v>
      </c>
      <c r="G117" s="957">
        <f>'Infra Build BOQ'!G136</f>
        <v>0</v>
      </c>
      <c r="H117" s="973">
        <f>'Infra Build BOQ'!T136</f>
        <v>0</v>
      </c>
      <c r="I117" s="974">
        <f>'Infra Build BOQ'!U136</f>
        <v>0</v>
      </c>
      <c r="J117" s="975">
        <f>'Infra Build BOQ'!V136</f>
        <v>0</v>
      </c>
      <c r="K117" s="976">
        <f>'Infra Build BOQ'!W136</f>
        <v>0</v>
      </c>
      <c r="L117" s="973">
        <f>'Infra Build BOQ'!X136</f>
        <v>0</v>
      </c>
      <c r="M117" s="974">
        <f>'Infra Build BOQ'!Y136</f>
        <v>0</v>
      </c>
      <c r="N117" s="975">
        <f>'Infra Build BOQ'!Z136</f>
        <v>0</v>
      </c>
      <c r="O117" s="976">
        <f>'Infra Build BOQ'!AA136</f>
        <v>0</v>
      </c>
      <c r="P117" s="973">
        <f>'Infra Build BOQ'!AB136</f>
        <v>0</v>
      </c>
      <c r="Q117" s="974">
        <f>'Infra Build BOQ'!AC136</f>
        <v>0</v>
      </c>
      <c r="R117" s="975">
        <f>'Infra Build BOQ'!AD136</f>
        <v>0</v>
      </c>
      <c r="S117" s="976">
        <f>'Infra Build BOQ'!AE136</f>
        <v>0</v>
      </c>
      <c r="T117" s="973">
        <f>'Infra Build BOQ'!AF136</f>
        <v>0</v>
      </c>
      <c r="U117" s="974">
        <f>'Infra Build BOQ'!AG136</f>
        <v>0</v>
      </c>
      <c r="V117" s="975">
        <f>'Infra Build BOQ'!AH136</f>
        <v>0</v>
      </c>
      <c r="W117" s="976">
        <f>'Infra Build BOQ'!AI136</f>
        <v>0</v>
      </c>
      <c r="X117" s="974">
        <f>'Infra Build BOQ'!AJ136</f>
        <v>0</v>
      </c>
      <c r="Y117" s="975">
        <f>'Infra Build BOQ'!AK136</f>
        <v>0</v>
      </c>
      <c r="Z117" s="977">
        <f>'Infra Build BOQ'!AL136</f>
        <v>0</v>
      </c>
    </row>
    <row r="118" spans="2:26" s="296" customFormat="1">
      <c r="B118" s="952">
        <f>'Master BOQ Pricing_2018-01-08'!B137</f>
        <v>8.1300000000000008</v>
      </c>
      <c r="C118" s="953" t="str">
        <f>'Master BOQ Pricing_2018-01-08'!C137</f>
        <v xml:space="preserve">Supply and install 75mm x 50mm galvanised trunking against building (exceeding 2 storey high) </v>
      </c>
      <c r="D118" s="954" t="str">
        <f>'Master BOQ Pricing_2018-01-08'!D137</f>
        <v>m</v>
      </c>
      <c r="E118" s="955">
        <f>'Master BOQ Pricing_2018-01-08'!E137</f>
        <v>86.17</v>
      </c>
      <c r="F118" s="956">
        <f>'Infra Build BOQ'!F137</f>
        <v>0</v>
      </c>
      <c r="G118" s="957">
        <f>'Infra Build BOQ'!G137</f>
        <v>0</v>
      </c>
      <c r="H118" s="973">
        <f>'Infra Build BOQ'!T137</f>
        <v>0</v>
      </c>
      <c r="I118" s="974">
        <f>'Infra Build BOQ'!U137</f>
        <v>0</v>
      </c>
      <c r="J118" s="975">
        <f>'Infra Build BOQ'!V137</f>
        <v>0</v>
      </c>
      <c r="K118" s="976">
        <f>'Infra Build BOQ'!W137</f>
        <v>0</v>
      </c>
      <c r="L118" s="973">
        <f>'Infra Build BOQ'!X137</f>
        <v>0</v>
      </c>
      <c r="M118" s="974">
        <f>'Infra Build BOQ'!Y137</f>
        <v>0</v>
      </c>
      <c r="N118" s="975">
        <f>'Infra Build BOQ'!Z137</f>
        <v>0</v>
      </c>
      <c r="O118" s="976">
        <f>'Infra Build BOQ'!AA137</f>
        <v>0</v>
      </c>
      <c r="P118" s="973">
        <f>'Infra Build BOQ'!AB137</f>
        <v>0</v>
      </c>
      <c r="Q118" s="974">
        <f>'Infra Build BOQ'!AC137</f>
        <v>0</v>
      </c>
      <c r="R118" s="975">
        <f>'Infra Build BOQ'!AD137</f>
        <v>0</v>
      </c>
      <c r="S118" s="976">
        <f>'Infra Build BOQ'!AE137</f>
        <v>0</v>
      </c>
      <c r="T118" s="973">
        <f>'Infra Build BOQ'!AF137</f>
        <v>0</v>
      </c>
      <c r="U118" s="974">
        <f>'Infra Build BOQ'!AG137</f>
        <v>0</v>
      </c>
      <c r="V118" s="975">
        <f>'Infra Build BOQ'!AH137</f>
        <v>0</v>
      </c>
      <c r="W118" s="976">
        <f>'Infra Build BOQ'!AI137</f>
        <v>0</v>
      </c>
      <c r="X118" s="974">
        <f>'Infra Build BOQ'!AJ137</f>
        <v>0</v>
      </c>
      <c r="Y118" s="975">
        <f>'Infra Build BOQ'!AK137</f>
        <v>0</v>
      </c>
      <c r="Z118" s="977">
        <f>'Infra Build BOQ'!AL137</f>
        <v>0</v>
      </c>
    </row>
    <row r="119" spans="2:26" s="296" customFormat="1">
      <c r="B119" s="952">
        <f>'Master BOQ Pricing_2018-01-08'!B138</f>
        <v>8.14</v>
      </c>
      <c r="C119" s="953" t="str">
        <f>'Master BOQ Pricing_2018-01-08'!C138</f>
        <v>Supply paint and Preparation and painting of PVC duct/square trunking/bosal</v>
      </c>
      <c r="D119" s="954" t="str">
        <f>'Master BOQ Pricing_2018-01-08'!D138</f>
        <v>m</v>
      </c>
      <c r="E119" s="955">
        <f>'Master BOQ Pricing_2018-01-08'!E138</f>
        <v>14.5</v>
      </c>
      <c r="F119" s="956">
        <f>'Infra Build BOQ'!F138</f>
        <v>0</v>
      </c>
      <c r="G119" s="957">
        <f>'Infra Build BOQ'!G138</f>
        <v>0</v>
      </c>
      <c r="H119" s="973">
        <f>'Infra Build BOQ'!T138</f>
        <v>0</v>
      </c>
      <c r="I119" s="974">
        <f>'Infra Build BOQ'!U138</f>
        <v>0</v>
      </c>
      <c r="J119" s="975">
        <f>'Infra Build BOQ'!V138</f>
        <v>0</v>
      </c>
      <c r="K119" s="976">
        <f>'Infra Build BOQ'!W138</f>
        <v>0</v>
      </c>
      <c r="L119" s="973">
        <f>'Infra Build BOQ'!X138</f>
        <v>0</v>
      </c>
      <c r="M119" s="974">
        <f>'Infra Build BOQ'!Y138</f>
        <v>0</v>
      </c>
      <c r="N119" s="975">
        <f>'Infra Build BOQ'!Z138</f>
        <v>0</v>
      </c>
      <c r="O119" s="976">
        <f>'Infra Build BOQ'!AA138</f>
        <v>0</v>
      </c>
      <c r="P119" s="973">
        <f>'Infra Build BOQ'!AB138</f>
        <v>0</v>
      </c>
      <c r="Q119" s="974">
        <f>'Infra Build BOQ'!AC138</f>
        <v>0</v>
      </c>
      <c r="R119" s="975">
        <f>'Infra Build BOQ'!AD138</f>
        <v>0</v>
      </c>
      <c r="S119" s="976">
        <f>'Infra Build BOQ'!AE138</f>
        <v>0</v>
      </c>
      <c r="T119" s="973">
        <f>'Infra Build BOQ'!AF138</f>
        <v>0</v>
      </c>
      <c r="U119" s="974">
        <f>'Infra Build BOQ'!AG138</f>
        <v>0</v>
      </c>
      <c r="V119" s="975">
        <f>'Infra Build BOQ'!AH138</f>
        <v>0</v>
      </c>
      <c r="W119" s="976">
        <f>'Infra Build BOQ'!AI138</f>
        <v>0</v>
      </c>
      <c r="X119" s="974">
        <f>'Infra Build BOQ'!AJ138</f>
        <v>0</v>
      </c>
      <c r="Y119" s="975">
        <f>'Infra Build BOQ'!AK138</f>
        <v>0</v>
      </c>
      <c r="Z119" s="977">
        <f>'Infra Build BOQ'!AL138</f>
        <v>0</v>
      </c>
    </row>
    <row r="120" spans="2:26" s="296" customFormat="1">
      <c r="B120" s="952">
        <f>'Master BOQ Pricing_2018-01-08'!B139</f>
        <v>8.15</v>
      </c>
      <c r="C120" s="953" t="str">
        <f>'Master BOQ Pricing_2018-01-08'!C139</f>
        <v>Supply and install cable trays (RF HD 225mm)</v>
      </c>
      <c r="D120" s="954" t="str">
        <f>'Master BOQ Pricing_2018-01-08'!D139</f>
        <v>m</v>
      </c>
      <c r="E120" s="955">
        <f>'Master BOQ Pricing_2018-01-08'!E139</f>
        <v>200</v>
      </c>
      <c r="F120" s="956">
        <f>'Infra Build BOQ'!F139</f>
        <v>0</v>
      </c>
      <c r="G120" s="957">
        <f>'Infra Build BOQ'!G139</f>
        <v>0</v>
      </c>
      <c r="H120" s="973">
        <f>'Infra Build BOQ'!T139</f>
        <v>0</v>
      </c>
      <c r="I120" s="974">
        <f>'Infra Build BOQ'!U139</f>
        <v>0</v>
      </c>
      <c r="J120" s="975">
        <f>'Infra Build BOQ'!V139</f>
        <v>0</v>
      </c>
      <c r="K120" s="976">
        <f>'Infra Build BOQ'!W139</f>
        <v>0</v>
      </c>
      <c r="L120" s="973">
        <f>'Infra Build BOQ'!X139</f>
        <v>0</v>
      </c>
      <c r="M120" s="974">
        <f>'Infra Build BOQ'!Y139</f>
        <v>0</v>
      </c>
      <c r="N120" s="975">
        <f>'Infra Build BOQ'!Z139</f>
        <v>0</v>
      </c>
      <c r="O120" s="976">
        <f>'Infra Build BOQ'!AA139</f>
        <v>0</v>
      </c>
      <c r="P120" s="973">
        <f>'Infra Build BOQ'!AB139</f>
        <v>0</v>
      </c>
      <c r="Q120" s="974">
        <f>'Infra Build BOQ'!AC139</f>
        <v>0</v>
      </c>
      <c r="R120" s="975">
        <f>'Infra Build BOQ'!AD139</f>
        <v>0</v>
      </c>
      <c r="S120" s="976">
        <f>'Infra Build BOQ'!AE139</f>
        <v>0</v>
      </c>
      <c r="T120" s="973">
        <f>'Infra Build BOQ'!AF139</f>
        <v>0</v>
      </c>
      <c r="U120" s="974">
        <f>'Infra Build BOQ'!AG139</f>
        <v>0</v>
      </c>
      <c r="V120" s="975">
        <f>'Infra Build BOQ'!AH139</f>
        <v>0</v>
      </c>
      <c r="W120" s="976">
        <f>'Infra Build BOQ'!AI139</f>
        <v>0</v>
      </c>
      <c r="X120" s="974">
        <f>'Infra Build BOQ'!AJ139</f>
        <v>0</v>
      </c>
      <c r="Y120" s="975">
        <f>'Infra Build BOQ'!AK139</f>
        <v>0</v>
      </c>
      <c r="Z120" s="977">
        <f>'Infra Build BOQ'!AL139</f>
        <v>0</v>
      </c>
    </row>
    <row r="121" spans="2:26" s="296" customFormat="1">
      <c r="B121" s="952">
        <f>'Master BOQ Pricing_2018-01-08'!B140</f>
        <v>8.16</v>
      </c>
      <c r="C121" s="953" t="str">
        <f>'Master BOQ Pricing_2018-01-08'!C140</f>
        <v>Supply and install cable trays (Wire Basket 100mm Wide  75mm Depth) including bends and splices</v>
      </c>
      <c r="D121" s="954" t="str">
        <f>'Master BOQ Pricing_2018-01-08'!D140</f>
        <v>m</v>
      </c>
      <c r="E121" s="955">
        <f>'Master BOQ Pricing_2018-01-08'!E140</f>
        <v>165</v>
      </c>
      <c r="F121" s="956">
        <f>'Infra Build BOQ'!F140</f>
        <v>0</v>
      </c>
      <c r="G121" s="957">
        <f>'Infra Build BOQ'!G140</f>
        <v>0</v>
      </c>
      <c r="H121" s="973">
        <f>'Infra Build BOQ'!T140</f>
        <v>0</v>
      </c>
      <c r="I121" s="974">
        <f>'Infra Build BOQ'!U140</f>
        <v>0</v>
      </c>
      <c r="J121" s="975">
        <f>'Infra Build BOQ'!V140</f>
        <v>0</v>
      </c>
      <c r="K121" s="976">
        <f>'Infra Build BOQ'!W140</f>
        <v>0</v>
      </c>
      <c r="L121" s="973">
        <f>'Infra Build BOQ'!X140</f>
        <v>0</v>
      </c>
      <c r="M121" s="974">
        <f>'Infra Build BOQ'!Y140</f>
        <v>0</v>
      </c>
      <c r="N121" s="975">
        <f>'Infra Build BOQ'!Z140</f>
        <v>0</v>
      </c>
      <c r="O121" s="976">
        <f>'Infra Build BOQ'!AA140</f>
        <v>0</v>
      </c>
      <c r="P121" s="973">
        <f>'Infra Build BOQ'!AB140</f>
        <v>0</v>
      </c>
      <c r="Q121" s="974">
        <f>'Infra Build BOQ'!AC140</f>
        <v>0</v>
      </c>
      <c r="R121" s="975">
        <f>'Infra Build BOQ'!AD140</f>
        <v>0</v>
      </c>
      <c r="S121" s="976">
        <f>'Infra Build BOQ'!AE140</f>
        <v>0</v>
      </c>
      <c r="T121" s="973">
        <f>'Infra Build BOQ'!AF140</f>
        <v>0</v>
      </c>
      <c r="U121" s="974">
        <f>'Infra Build BOQ'!AG140</f>
        <v>0</v>
      </c>
      <c r="V121" s="975">
        <f>'Infra Build BOQ'!AH140</f>
        <v>0</v>
      </c>
      <c r="W121" s="976">
        <f>'Infra Build BOQ'!AI140</f>
        <v>0</v>
      </c>
      <c r="X121" s="974">
        <f>'Infra Build BOQ'!AJ140</f>
        <v>0</v>
      </c>
      <c r="Y121" s="975">
        <f>'Infra Build BOQ'!AK140</f>
        <v>0</v>
      </c>
      <c r="Z121" s="977">
        <f>'Infra Build BOQ'!AL140</f>
        <v>0</v>
      </c>
    </row>
    <row r="122" spans="2:26" s="296" customFormat="1">
      <c r="B122" s="952">
        <f>'Master BOQ Pricing_2018-01-08'!B141</f>
        <v>8.17</v>
      </c>
      <c r="C122" s="953" t="str">
        <f>'Master BOQ Pricing_2018-01-08'!C141</f>
        <v>Supply and install welded wired mesh cable tray (WWHD 100mm) including joiner set</v>
      </c>
      <c r="D122" s="954" t="str">
        <f>'Master BOQ Pricing_2018-01-08'!D141</f>
        <v>m</v>
      </c>
      <c r="E122" s="955">
        <f>'Master BOQ Pricing_2018-01-08'!E141</f>
        <v>205</v>
      </c>
      <c r="F122" s="956">
        <f>'Infra Build BOQ'!F141</f>
        <v>0</v>
      </c>
      <c r="G122" s="957">
        <f>'Infra Build BOQ'!G141</f>
        <v>0</v>
      </c>
      <c r="H122" s="973">
        <f>'Infra Build BOQ'!T141</f>
        <v>0</v>
      </c>
      <c r="I122" s="974">
        <f>'Infra Build BOQ'!U141</f>
        <v>0</v>
      </c>
      <c r="J122" s="975">
        <f>'Infra Build BOQ'!V141</f>
        <v>0</v>
      </c>
      <c r="K122" s="976">
        <f>'Infra Build BOQ'!W141</f>
        <v>0</v>
      </c>
      <c r="L122" s="973">
        <f>'Infra Build BOQ'!X141</f>
        <v>0</v>
      </c>
      <c r="M122" s="974">
        <f>'Infra Build BOQ'!Y141</f>
        <v>0</v>
      </c>
      <c r="N122" s="975">
        <f>'Infra Build BOQ'!Z141</f>
        <v>0</v>
      </c>
      <c r="O122" s="976">
        <f>'Infra Build BOQ'!AA141</f>
        <v>0</v>
      </c>
      <c r="P122" s="973">
        <f>'Infra Build BOQ'!AB141</f>
        <v>0</v>
      </c>
      <c r="Q122" s="974">
        <f>'Infra Build BOQ'!AC141</f>
        <v>0</v>
      </c>
      <c r="R122" s="975">
        <f>'Infra Build BOQ'!AD141</f>
        <v>0</v>
      </c>
      <c r="S122" s="976">
        <f>'Infra Build BOQ'!AE141</f>
        <v>0</v>
      </c>
      <c r="T122" s="973">
        <f>'Infra Build BOQ'!AF141</f>
        <v>0</v>
      </c>
      <c r="U122" s="974">
        <f>'Infra Build BOQ'!AG141</f>
        <v>0</v>
      </c>
      <c r="V122" s="975">
        <f>'Infra Build BOQ'!AH141</f>
        <v>0</v>
      </c>
      <c r="W122" s="976">
        <f>'Infra Build BOQ'!AI141</f>
        <v>0</v>
      </c>
      <c r="X122" s="974">
        <f>'Infra Build BOQ'!AJ141</f>
        <v>0</v>
      </c>
      <c r="Y122" s="975">
        <f>'Infra Build BOQ'!AK141</f>
        <v>0</v>
      </c>
      <c r="Z122" s="977">
        <f>'Infra Build BOQ'!AL141</f>
        <v>0</v>
      </c>
    </row>
    <row r="123" spans="2:26" s="296" customFormat="1">
      <c r="B123" s="952">
        <f>'Master BOQ Pricing_2018-01-08'!B142</f>
        <v>8.18</v>
      </c>
      <c r="C123" s="953" t="str">
        <f>'Master BOQ Pricing_2018-01-08'!C142</f>
        <v>Supply and install welded wired mesh cable tray (WWHD 200mm) including joiner set</v>
      </c>
      <c r="D123" s="954" t="str">
        <f>'Master BOQ Pricing_2018-01-08'!D142</f>
        <v>m</v>
      </c>
      <c r="E123" s="955">
        <f>'Master BOQ Pricing_2018-01-08'!E142</f>
        <v>225</v>
      </c>
      <c r="F123" s="956">
        <f>'Infra Build BOQ'!F142</f>
        <v>0</v>
      </c>
      <c r="G123" s="957">
        <f>'Infra Build BOQ'!G142</f>
        <v>0</v>
      </c>
      <c r="H123" s="973">
        <f>'Infra Build BOQ'!T142</f>
        <v>0</v>
      </c>
      <c r="I123" s="974">
        <f>'Infra Build BOQ'!U142</f>
        <v>0</v>
      </c>
      <c r="J123" s="975">
        <f>'Infra Build BOQ'!V142</f>
        <v>0</v>
      </c>
      <c r="K123" s="976">
        <f>'Infra Build BOQ'!W142</f>
        <v>0</v>
      </c>
      <c r="L123" s="973">
        <f>'Infra Build BOQ'!X142</f>
        <v>0</v>
      </c>
      <c r="M123" s="974">
        <f>'Infra Build BOQ'!Y142</f>
        <v>0</v>
      </c>
      <c r="N123" s="975">
        <f>'Infra Build BOQ'!Z142</f>
        <v>0</v>
      </c>
      <c r="O123" s="976">
        <f>'Infra Build BOQ'!AA142</f>
        <v>0</v>
      </c>
      <c r="P123" s="973">
        <f>'Infra Build BOQ'!AB142</f>
        <v>0</v>
      </c>
      <c r="Q123" s="974">
        <f>'Infra Build BOQ'!AC142</f>
        <v>0</v>
      </c>
      <c r="R123" s="975">
        <f>'Infra Build BOQ'!AD142</f>
        <v>0</v>
      </c>
      <c r="S123" s="976">
        <f>'Infra Build BOQ'!AE142</f>
        <v>0</v>
      </c>
      <c r="T123" s="973">
        <f>'Infra Build BOQ'!AF142</f>
        <v>0</v>
      </c>
      <c r="U123" s="974">
        <f>'Infra Build BOQ'!AG142</f>
        <v>0</v>
      </c>
      <c r="V123" s="975">
        <f>'Infra Build BOQ'!AH142</f>
        <v>0</v>
      </c>
      <c r="W123" s="976">
        <f>'Infra Build BOQ'!AI142</f>
        <v>0</v>
      </c>
      <c r="X123" s="974">
        <f>'Infra Build BOQ'!AJ142</f>
        <v>0</v>
      </c>
      <c r="Y123" s="975">
        <f>'Infra Build BOQ'!AK142</f>
        <v>0</v>
      </c>
      <c r="Z123" s="977">
        <f>'Infra Build BOQ'!AL142</f>
        <v>0</v>
      </c>
    </row>
    <row r="124" spans="2:26" s="296" customFormat="1">
      <c r="B124" s="952">
        <f>'Master BOQ Pricing_2018-01-08'!B143</f>
        <v>8.19</v>
      </c>
      <c r="C124" s="953" t="str">
        <f>'Master BOQ Pricing_2018-01-08'!C143</f>
        <v>Install optic cable onto cable trays, risers or in ceilings</v>
      </c>
      <c r="D124" s="954" t="str">
        <f>'Master BOQ Pricing_2018-01-08'!D143</f>
        <v>m</v>
      </c>
      <c r="E124" s="955">
        <f>'Master BOQ Pricing_2018-01-08'!E143</f>
        <v>6.5</v>
      </c>
      <c r="F124" s="956">
        <f>'Infra Build BOQ'!F143</f>
        <v>80</v>
      </c>
      <c r="G124" s="957">
        <f>'Infra Build BOQ'!G143</f>
        <v>520</v>
      </c>
      <c r="H124" s="973">
        <f>'Infra Build BOQ'!T143</f>
        <v>0</v>
      </c>
      <c r="I124" s="974">
        <f>'Infra Build BOQ'!U143</f>
        <v>80</v>
      </c>
      <c r="J124" s="975">
        <f>'Infra Build BOQ'!V143</f>
        <v>520</v>
      </c>
      <c r="K124" s="976">
        <f>'Infra Build BOQ'!W143</f>
        <v>0</v>
      </c>
      <c r="L124" s="973">
        <f>'Infra Build BOQ'!X143</f>
        <v>0</v>
      </c>
      <c r="M124" s="974">
        <f>'Infra Build BOQ'!Y143</f>
        <v>80</v>
      </c>
      <c r="N124" s="975">
        <f>'Infra Build BOQ'!Z143</f>
        <v>520</v>
      </c>
      <c r="O124" s="976">
        <f>'Infra Build BOQ'!AA143</f>
        <v>0</v>
      </c>
      <c r="P124" s="973">
        <f>'Infra Build BOQ'!AB143</f>
        <v>0</v>
      </c>
      <c r="Q124" s="974">
        <f>'Infra Build BOQ'!AC143</f>
        <v>80</v>
      </c>
      <c r="R124" s="975">
        <f>'Infra Build BOQ'!AD143</f>
        <v>520</v>
      </c>
      <c r="S124" s="976">
        <f>'Infra Build BOQ'!AE143</f>
        <v>0</v>
      </c>
      <c r="T124" s="973">
        <f>'Infra Build BOQ'!AF143</f>
        <v>0</v>
      </c>
      <c r="U124" s="974">
        <f>'Infra Build BOQ'!AG143</f>
        <v>80</v>
      </c>
      <c r="V124" s="975">
        <f>'Infra Build BOQ'!AH143</f>
        <v>520</v>
      </c>
      <c r="W124" s="976">
        <f>'Infra Build BOQ'!AI143</f>
        <v>0</v>
      </c>
      <c r="X124" s="974">
        <f>'Infra Build BOQ'!AJ143</f>
        <v>0</v>
      </c>
      <c r="Y124" s="975">
        <f>'Infra Build BOQ'!AK143</f>
        <v>0</v>
      </c>
      <c r="Z124" s="977">
        <f>'Infra Build BOQ'!AL143</f>
        <v>0</v>
      </c>
    </row>
    <row r="125" spans="2:26" s="296" customFormat="1">
      <c r="B125" s="952">
        <f>'Master BOQ Pricing_2018-01-08'!B144</f>
        <v>8.1999999999999993</v>
      </c>
      <c r="C125" s="953" t="str">
        <f>'Master BOQ Pricing_2018-01-08'!C144</f>
        <v>Install 40mm, 7 way, 4 way, 2 way or 1 way duct onto cable tray, riser, in ceiling or under false floor</v>
      </c>
      <c r="D125" s="954" t="str">
        <f>'Master BOQ Pricing_2018-01-08'!D144</f>
        <v>m</v>
      </c>
      <c r="E125" s="955">
        <f>'Master BOQ Pricing_2018-01-08'!E144</f>
        <v>6.5</v>
      </c>
      <c r="F125" s="956">
        <f>'Infra Build BOQ'!F144</f>
        <v>55</v>
      </c>
      <c r="G125" s="957">
        <f>'Infra Build BOQ'!G144</f>
        <v>357.5</v>
      </c>
      <c r="H125" s="973">
        <f>'Infra Build BOQ'!T144</f>
        <v>0</v>
      </c>
      <c r="I125" s="974">
        <f>'Infra Build BOQ'!U144</f>
        <v>55</v>
      </c>
      <c r="J125" s="975">
        <f>'Infra Build BOQ'!V144</f>
        <v>357.5</v>
      </c>
      <c r="K125" s="976">
        <f>'Infra Build BOQ'!W144</f>
        <v>0</v>
      </c>
      <c r="L125" s="973">
        <f>'Infra Build BOQ'!X144</f>
        <v>0</v>
      </c>
      <c r="M125" s="974">
        <f>'Infra Build BOQ'!Y144</f>
        <v>55</v>
      </c>
      <c r="N125" s="975">
        <f>'Infra Build BOQ'!Z144</f>
        <v>357.5</v>
      </c>
      <c r="O125" s="976">
        <f>'Infra Build BOQ'!AA144</f>
        <v>0</v>
      </c>
      <c r="P125" s="973">
        <f>'Infra Build BOQ'!AB144</f>
        <v>0</v>
      </c>
      <c r="Q125" s="974">
        <f>'Infra Build BOQ'!AC144</f>
        <v>55</v>
      </c>
      <c r="R125" s="975">
        <f>'Infra Build BOQ'!AD144</f>
        <v>357.5</v>
      </c>
      <c r="S125" s="976">
        <f>'Infra Build BOQ'!AE144</f>
        <v>0</v>
      </c>
      <c r="T125" s="973">
        <f>'Infra Build BOQ'!AF144</f>
        <v>0</v>
      </c>
      <c r="U125" s="974">
        <f>'Infra Build BOQ'!AG144</f>
        <v>55</v>
      </c>
      <c r="V125" s="975">
        <f>'Infra Build BOQ'!AH144</f>
        <v>357.5</v>
      </c>
      <c r="W125" s="976">
        <f>'Infra Build BOQ'!AI144</f>
        <v>0</v>
      </c>
      <c r="X125" s="974">
        <f>'Infra Build BOQ'!AJ144</f>
        <v>0</v>
      </c>
      <c r="Y125" s="975">
        <f>'Infra Build BOQ'!AK144</f>
        <v>0</v>
      </c>
      <c r="Z125" s="977">
        <f>'Infra Build BOQ'!AL144</f>
        <v>0</v>
      </c>
    </row>
    <row r="126" spans="2:26" s="296" customFormat="1">
      <c r="B126" s="952">
        <f>'Master BOQ Pricing_2018-01-08'!B145</f>
        <v>8.2100000000000009</v>
      </c>
      <c r="C126" s="953" t="str">
        <f>'Master BOQ Pricing_2018-01-08'!C145</f>
        <v>Install PVC duct / sprague / square trunking / bosal against wall, building etc including the drilling of walls</v>
      </c>
      <c r="D126" s="954" t="str">
        <f>'Master BOQ Pricing_2018-01-08'!D145</f>
        <v>m</v>
      </c>
      <c r="E126" s="955">
        <f>'Master BOQ Pricing_2018-01-08'!E145</f>
        <v>16.39</v>
      </c>
      <c r="F126" s="956">
        <f>'Infra Build BOQ'!F145</f>
        <v>3</v>
      </c>
      <c r="G126" s="957">
        <f>'Infra Build BOQ'!G145</f>
        <v>49.17</v>
      </c>
      <c r="H126" s="973">
        <f>'Infra Build BOQ'!T145</f>
        <v>0</v>
      </c>
      <c r="I126" s="974">
        <f>'Infra Build BOQ'!U145</f>
        <v>3</v>
      </c>
      <c r="J126" s="975">
        <f>'Infra Build BOQ'!V145</f>
        <v>49.17</v>
      </c>
      <c r="K126" s="976">
        <f>'Infra Build BOQ'!W145</f>
        <v>0</v>
      </c>
      <c r="L126" s="973">
        <f>'Infra Build BOQ'!X145</f>
        <v>0</v>
      </c>
      <c r="M126" s="974">
        <f>'Infra Build BOQ'!Y145</f>
        <v>3</v>
      </c>
      <c r="N126" s="975">
        <f>'Infra Build BOQ'!Z145</f>
        <v>49.17</v>
      </c>
      <c r="O126" s="976">
        <f>'Infra Build BOQ'!AA145</f>
        <v>0</v>
      </c>
      <c r="P126" s="973">
        <f>'Infra Build BOQ'!AB145</f>
        <v>0</v>
      </c>
      <c r="Q126" s="974">
        <f>'Infra Build BOQ'!AC145</f>
        <v>3</v>
      </c>
      <c r="R126" s="975">
        <f>'Infra Build BOQ'!AD145</f>
        <v>49.17</v>
      </c>
      <c r="S126" s="976">
        <f>'Infra Build BOQ'!AE145</f>
        <v>0</v>
      </c>
      <c r="T126" s="973">
        <f>'Infra Build BOQ'!AF145</f>
        <v>0</v>
      </c>
      <c r="U126" s="974">
        <f>'Infra Build BOQ'!AG145</f>
        <v>3</v>
      </c>
      <c r="V126" s="975">
        <f>'Infra Build BOQ'!AH145</f>
        <v>49.17</v>
      </c>
      <c r="W126" s="976">
        <f>'Infra Build BOQ'!AI145</f>
        <v>0</v>
      </c>
      <c r="X126" s="974">
        <f>'Infra Build BOQ'!AJ145</f>
        <v>0</v>
      </c>
      <c r="Y126" s="975">
        <f>'Infra Build BOQ'!AK145</f>
        <v>0</v>
      </c>
      <c r="Z126" s="977">
        <f>'Infra Build BOQ'!AL145</f>
        <v>0</v>
      </c>
    </row>
    <row r="127" spans="2:26" s="296" customFormat="1" ht="27.6" customHeight="1">
      <c r="B127" s="952">
        <f>'Master BOQ Pricing_2018-01-08'!B146</f>
        <v>8.2200000000000006</v>
      </c>
      <c r="C127" s="953" t="str">
        <f>'Master BOQ Pricing_2018-01-08'!C146</f>
        <v>Install PVC duct / against wall, building etc including drills  (single drill per anchor point every 1m) _ HV-MDU Application</v>
      </c>
      <c r="D127" s="954" t="str">
        <f>'Master BOQ Pricing_2018-01-08'!D146</f>
        <v>m</v>
      </c>
      <c r="E127" s="955">
        <f>'Master BOQ Pricing_2018-01-08'!E146</f>
        <v>12.09</v>
      </c>
      <c r="F127" s="956">
        <f>'Infra Build BOQ'!F146</f>
        <v>0</v>
      </c>
      <c r="G127" s="957">
        <f>'Infra Build BOQ'!G146</f>
        <v>0</v>
      </c>
      <c r="H127" s="973">
        <f>'Infra Build BOQ'!T146</f>
        <v>0</v>
      </c>
      <c r="I127" s="974">
        <f>'Infra Build BOQ'!U146</f>
        <v>0</v>
      </c>
      <c r="J127" s="975">
        <f>'Infra Build BOQ'!V146</f>
        <v>0</v>
      </c>
      <c r="K127" s="976">
        <f>'Infra Build BOQ'!W146</f>
        <v>0</v>
      </c>
      <c r="L127" s="973">
        <f>'Infra Build BOQ'!X146</f>
        <v>0</v>
      </c>
      <c r="M127" s="974">
        <f>'Infra Build BOQ'!Y146</f>
        <v>0</v>
      </c>
      <c r="N127" s="975">
        <f>'Infra Build BOQ'!Z146</f>
        <v>0</v>
      </c>
      <c r="O127" s="976">
        <f>'Infra Build BOQ'!AA146</f>
        <v>0</v>
      </c>
      <c r="P127" s="973">
        <f>'Infra Build BOQ'!AB146</f>
        <v>0</v>
      </c>
      <c r="Q127" s="974">
        <f>'Infra Build BOQ'!AC146</f>
        <v>0</v>
      </c>
      <c r="R127" s="975">
        <f>'Infra Build BOQ'!AD146</f>
        <v>0</v>
      </c>
      <c r="S127" s="976">
        <f>'Infra Build BOQ'!AE146</f>
        <v>0</v>
      </c>
      <c r="T127" s="973">
        <f>'Infra Build BOQ'!AF146</f>
        <v>0</v>
      </c>
      <c r="U127" s="974">
        <f>'Infra Build BOQ'!AG146</f>
        <v>0</v>
      </c>
      <c r="V127" s="975">
        <f>'Infra Build BOQ'!AH146</f>
        <v>0</v>
      </c>
      <c r="W127" s="976">
        <f>'Infra Build BOQ'!AI146</f>
        <v>0</v>
      </c>
      <c r="X127" s="974">
        <f>'Infra Build BOQ'!AJ146</f>
        <v>0</v>
      </c>
      <c r="Y127" s="975">
        <f>'Infra Build BOQ'!AK146</f>
        <v>0</v>
      </c>
      <c r="Z127" s="977">
        <f>'Infra Build BOQ'!AL146</f>
        <v>0</v>
      </c>
    </row>
    <row r="128" spans="2:26" s="296" customFormat="1">
      <c r="B128" s="952">
        <f>'Master BOQ Pricing_2018-01-08'!B147</f>
        <v>8.23</v>
      </c>
      <c r="C128" s="953" t="str">
        <f>'Master BOQ Pricing_2018-01-08'!C147</f>
        <v xml:space="preserve">ISP - Cut and seal gland plate </v>
      </c>
      <c r="D128" s="954" t="str">
        <f>'Master BOQ Pricing_2018-01-08'!D147</f>
        <v>ea</v>
      </c>
      <c r="E128" s="955">
        <f>'Master BOQ Pricing_2018-01-08'!E147</f>
        <v>50.5</v>
      </c>
      <c r="F128" s="956">
        <f>'Infra Build BOQ'!F147</f>
        <v>0</v>
      </c>
      <c r="G128" s="957">
        <f>'Infra Build BOQ'!G147</f>
        <v>0</v>
      </c>
      <c r="H128" s="973">
        <f>'Infra Build BOQ'!T147</f>
        <v>0</v>
      </c>
      <c r="I128" s="974">
        <f>'Infra Build BOQ'!U147</f>
        <v>0</v>
      </c>
      <c r="J128" s="975">
        <f>'Infra Build BOQ'!V147</f>
        <v>0</v>
      </c>
      <c r="K128" s="976">
        <f>'Infra Build BOQ'!W147</f>
        <v>0</v>
      </c>
      <c r="L128" s="973">
        <f>'Infra Build BOQ'!X147</f>
        <v>0</v>
      </c>
      <c r="M128" s="974">
        <f>'Infra Build BOQ'!Y147</f>
        <v>0</v>
      </c>
      <c r="N128" s="975">
        <f>'Infra Build BOQ'!Z147</f>
        <v>0</v>
      </c>
      <c r="O128" s="976">
        <f>'Infra Build BOQ'!AA147</f>
        <v>0</v>
      </c>
      <c r="P128" s="973">
        <f>'Infra Build BOQ'!AB147</f>
        <v>0</v>
      </c>
      <c r="Q128" s="974">
        <f>'Infra Build BOQ'!AC147</f>
        <v>0</v>
      </c>
      <c r="R128" s="975">
        <f>'Infra Build BOQ'!AD147</f>
        <v>0</v>
      </c>
      <c r="S128" s="976">
        <f>'Infra Build BOQ'!AE147</f>
        <v>0</v>
      </c>
      <c r="T128" s="973">
        <f>'Infra Build BOQ'!AF147</f>
        <v>0</v>
      </c>
      <c r="U128" s="974">
        <f>'Infra Build BOQ'!AG147</f>
        <v>0</v>
      </c>
      <c r="V128" s="975">
        <f>'Infra Build BOQ'!AH147</f>
        <v>0</v>
      </c>
      <c r="W128" s="976">
        <f>'Infra Build BOQ'!AI147</f>
        <v>0</v>
      </c>
      <c r="X128" s="974">
        <f>'Infra Build BOQ'!AJ147</f>
        <v>0</v>
      </c>
      <c r="Y128" s="975">
        <f>'Infra Build BOQ'!AK147</f>
        <v>0</v>
      </c>
      <c r="Z128" s="977">
        <f>'Infra Build BOQ'!AL147</f>
        <v>0</v>
      </c>
    </row>
    <row r="129" spans="2:26" s="296" customFormat="1">
      <c r="B129" s="952">
        <f>'Master BOQ Pricing_2018-01-08'!B148</f>
        <v>8.24</v>
      </c>
      <c r="C129" s="953" t="str">
        <f>'Master BOQ Pricing_2018-01-08'!C148</f>
        <v>Install - Slack Box/Junction Box/Home Pass Point MPEbox(J1)</v>
      </c>
      <c r="D129" s="954" t="str">
        <f>'Master BOQ Pricing_2018-01-08'!D148</f>
        <v>ea</v>
      </c>
      <c r="E129" s="955">
        <f>'Master BOQ Pricing_2018-01-08'!E148</f>
        <v>67.069999999999993</v>
      </c>
      <c r="F129" s="956">
        <f>'Infra Build BOQ'!F148</f>
        <v>0</v>
      </c>
      <c r="G129" s="957">
        <f>'Infra Build BOQ'!G148</f>
        <v>0</v>
      </c>
      <c r="H129" s="973">
        <f>'Infra Build BOQ'!T148</f>
        <v>0</v>
      </c>
      <c r="I129" s="974">
        <f>'Infra Build BOQ'!U148</f>
        <v>0</v>
      </c>
      <c r="J129" s="975">
        <f>'Infra Build BOQ'!V148</f>
        <v>0</v>
      </c>
      <c r="K129" s="976">
        <f>'Infra Build BOQ'!W148</f>
        <v>0</v>
      </c>
      <c r="L129" s="973">
        <f>'Infra Build BOQ'!X148</f>
        <v>0</v>
      </c>
      <c r="M129" s="974">
        <f>'Infra Build BOQ'!Y148</f>
        <v>0</v>
      </c>
      <c r="N129" s="975">
        <f>'Infra Build BOQ'!Z148</f>
        <v>0</v>
      </c>
      <c r="O129" s="976">
        <f>'Infra Build BOQ'!AA148</f>
        <v>0</v>
      </c>
      <c r="P129" s="973">
        <f>'Infra Build BOQ'!AB148</f>
        <v>0</v>
      </c>
      <c r="Q129" s="974">
        <f>'Infra Build BOQ'!AC148</f>
        <v>0</v>
      </c>
      <c r="R129" s="975">
        <f>'Infra Build BOQ'!AD148</f>
        <v>0</v>
      </c>
      <c r="S129" s="976">
        <f>'Infra Build BOQ'!AE148</f>
        <v>0</v>
      </c>
      <c r="T129" s="973">
        <f>'Infra Build BOQ'!AF148</f>
        <v>0</v>
      </c>
      <c r="U129" s="974">
        <f>'Infra Build BOQ'!AG148</f>
        <v>0</v>
      </c>
      <c r="V129" s="975">
        <f>'Infra Build BOQ'!AH148</f>
        <v>0</v>
      </c>
      <c r="W129" s="976">
        <f>'Infra Build BOQ'!AI148</f>
        <v>0</v>
      </c>
      <c r="X129" s="974">
        <f>'Infra Build BOQ'!AJ148</f>
        <v>0</v>
      </c>
      <c r="Y129" s="975">
        <f>'Infra Build BOQ'!AK148</f>
        <v>0</v>
      </c>
      <c r="Z129" s="977">
        <f>'Infra Build BOQ'!AL148</f>
        <v>0</v>
      </c>
    </row>
    <row r="130" spans="2:26" s="296" customFormat="1">
      <c r="B130" s="952">
        <f>'Master BOQ Pricing_2018-01-08'!B149</f>
        <v>8.25</v>
      </c>
      <c r="C130" s="953" t="str">
        <f>'Master BOQ Pricing_2018-01-08'!C149</f>
        <v>ISP - Supply and install fibre glass draw/junction box</v>
      </c>
      <c r="D130" s="954" t="str">
        <f>'Master BOQ Pricing_2018-01-08'!D149</f>
        <v>ea</v>
      </c>
      <c r="E130" s="955">
        <f>'Master BOQ Pricing_2018-01-08'!E149</f>
        <v>350</v>
      </c>
      <c r="F130" s="956">
        <f>'Infra Build BOQ'!F149</f>
        <v>0</v>
      </c>
      <c r="G130" s="957">
        <f>'Infra Build BOQ'!G149</f>
        <v>0</v>
      </c>
      <c r="H130" s="973">
        <f>'Infra Build BOQ'!T149</f>
        <v>0</v>
      </c>
      <c r="I130" s="974">
        <f>'Infra Build BOQ'!U149</f>
        <v>0</v>
      </c>
      <c r="J130" s="975">
        <f>'Infra Build BOQ'!V149</f>
        <v>0</v>
      </c>
      <c r="K130" s="976">
        <f>'Infra Build BOQ'!W149</f>
        <v>0</v>
      </c>
      <c r="L130" s="973">
        <f>'Infra Build BOQ'!X149</f>
        <v>0</v>
      </c>
      <c r="M130" s="974">
        <f>'Infra Build BOQ'!Y149</f>
        <v>0</v>
      </c>
      <c r="N130" s="975">
        <f>'Infra Build BOQ'!Z149</f>
        <v>0</v>
      </c>
      <c r="O130" s="976">
        <f>'Infra Build BOQ'!AA149</f>
        <v>0</v>
      </c>
      <c r="P130" s="973">
        <f>'Infra Build BOQ'!AB149</f>
        <v>0</v>
      </c>
      <c r="Q130" s="974">
        <f>'Infra Build BOQ'!AC149</f>
        <v>0</v>
      </c>
      <c r="R130" s="975">
        <f>'Infra Build BOQ'!AD149</f>
        <v>0</v>
      </c>
      <c r="S130" s="976">
        <f>'Infra Build BOQ'!AE149</f>
        <v>0</v>
      </c>
      <c r="T130" s="973">
        <f>'Infra Build BOQ'!AF149</f>
        <v>0</v>
      </c>
      <c r="U130" s="974">
        <f>'Infra Build BOQ'!AG149</f>
        <v>0</v>
      </c>
      <c r="V130" s="975">
        <f>'Infra Build BOQ'!AH149</f>
        <v>0</v>
      </c>
      <c r="W130" s="976">
        <f>'Infra Build BOQ'!AI149</f>
        <v>0</v>
      </c>
      <c r="X130" s="974">
        <f>'Infra Build BOQ'!AJ149</f>
        <v>0</v>
      </c>
      <c r="Y130" s="975">
        <f>'Infra Build BOQ'!AK149</f>
        <v>0</v>
      </c>
      <c r="Z130" s="977">
        <f>'Infra Build BOQ'!AL149</f>
        <v>0</v>
      </c>
    </row>
    <row r="131" spans="2:26" s="296" customFormat="1">
      <c r="B131" s="952">
        <f>'Master BOQ Pricing_2018-01-08'!B150</f>
        <v>8.26</v>
      </c>
      <c r="C131" s="953" t="str">
        <f>'Master BOQ Pricing_2018-01-08'!C150</f>
        <v>ISP - Supply and install concrete entry block</v>
      </c>
      <c r="D131" s="954" t="str">
        <f>'Master BOQ Pricing_2018-01-08'!D150</f>
        <v>ea</v>
      </c>
      <c r="E131" s="955">
        <f>'Master BOQ Pricing_2018-01-08'!E150</f>
        <v>250</v>
      </c>
      <c r="F131" s="956">
        <f>'Infra Build BOQ'!F150</f>
        <v>0</v>
      </c>
      <c r="G131" s="957">
        <f>'Infra Build BOQ'!G150</f>
        <v>0</v>
      </c>
      <c r="H131" s="973">
        <f>'Infra Build BOQ'!T150</f>
        <v>0</v>
      </c>
      <c r="I131" s="974">
        <f>'Infra Build BOQ'!U150</f>
        <v>0</v>
      </c>
      <c r="J131" s="975">
        <f>'Infra Build BOQ'!V150</f>
        <v>0</v>
      </c>
      <c r="K131" s="976">
        <f>'Infra Build BOQ'!W150</f>
        <v>0</v>
      </c>
      <c r="L131" s="973">
        <f>'Infra Build BOQ'!X150</f>
        <v>0</v>
      </c>
      <c r="M131" s="974">
        <f>'Infra Build BOQ'!Y150</f>
        <v>0</v>
      </c>
      <c r="N131" s="975">
        <f>'Infra Build BOQ'!Z150</f>
        <v>0</v>
      </c>
      <c r="O131" s="976">
        <f>'Infra Build BOQ'!AA150</f>
        <v>0</v>
      </c>
      <c r="P131" s="973">
        <f>'Infra Build BOQ'!AB150</f>
        <v>0</v>
      </c>
      <c r="Q131" s="974">
        <f>'Infra Build BOQ'!AC150</f>
        <v>0</v>
      </c>
      <c r="R131" s="975">
        <f>'Infra Build BOQ'!AD150</f>
        <v>0</v>
      </c>
      <c r="S131" s="976">
        <f>'Infra Build BOQ'!AE150</f>
        <v>0</v>
      </c>
      <c r="T131" s="973">
        <f>'Infra Build BOQ'!AF150</f>
        <v>0</v>
      </c>
      <c r="U131" s="974">
        <f>'Infra Build BOQ'!AG150</f>
        <v>0</v>
      </c>
      <c r="V131" s="975">
        <f>'Infra Build BOQ'!AH150</f>
        <v>0</v>
      </c>
      <c r="W131" s="976">
        <f>'Infra Build BOQ'!AI150</f>
        <v>0</v>
      </c>
      <c r="X131" s="974">
        <f>'Infra Build BOQ'!AJ150</f>
        <v>0</v>
      </c>
      <c r="Y131" s="975">
        <f>'Infra Build BOQ'!AK150</f>
        <v>0</v>
      </c>
      <c r="Z131" s="977">
        <f>'Infra Build BOQ'!AL150</f>
        <v>0</v>
      </c>
    </row>
    <row r="132" spans="2:26" s="296" customFormat="1">
      <c r="B132" s="952">
        <f>'Master BOQ Pricing_2018-01-08'!B151</f>
        <v>8.27</v>
      </c>
      <c r="C132" s="953" t="str">
        <f>'Master BOQ Pricing_2018-01-08'!C151</f>
        <v xml:space="preserve">ISP - Supply and install flex pipe and gland onto bosal and gland plate. (Located where feeders enter BTS site) </v>
      </c>
      <c r="D132" s="954" t="str">
        <f>'Master BOQ Pricing_2018-01-08'!D151</f>
        <v>ea</v>
      </c>
      <c r="E132" s="955">
        <f>'Master BOQ Pricing_2018-01-08'!E151</f>
        <v>122.98</v>
      </c>
      <c r="F132" s="956">
        <f>'Infra Build BOQ'!F151</f>
        <v>0</v>
      </c>
      <c r="G132" s="957">
        <f>'Infra Build BOQ'!G151</f>
        <v>0</v>
      </c>
      <c r="H132" s="973">
        <f>'Infra Build BOQ'!T151</f>
        <v>0</v>
      </c>
      <c r="I132" s="974">
        <f>'Infra Build BOQ'!U151</f>
        <v>0</v>
      </c>
      <c r="J132" s="975">
        <f>'Infra Build BOQ'!V151</f>
        <v>0</v>
      </c>
      <c r="K132" s="976">
        <f>'Infra Build BOQ'!W151</f>
        <v>0</v>
      </c>
      <c r="L132" s="973">
        <f>'Infra Build BOQ'!X151</f>
        <v>0</v>
      </c>
      <c r="M132" s="974">
        <f>'Infra Build BOQ'!Y151</f>
        <v>0</v>
      </c>
      <c r="N132" s="975">
        <f>'Infra Build BOQ'!Z151</f>
        <v>0</v>
      </c>
      <c r="O132" s="976">
        <f>'Infra Build BOQ'!AA151</f>
        <v>0</v>
      </c>
      <c r="P132" s="973">
        <f>'Infra Build BOQ'!AB151</f>
        <v>0</v>
      </c>
      <c r="Q132" s="974">
        <f>'Infra Build BOQ'!AC151</f>
        <v>0</v>
      </c>
      <c r="R132" s="975">
        <f>'Infra Build BOQ'!AD151</f>
        <v>0</v>
      </c>
      <c r="S132" s="976">
        <f>'Infra Build BOQ'!AE151</f>
        <v>0</v>
      </c>
      <c r="T132" s="973">
        <f>'Infra Build BOQ'!AF151</f>
        <v>0</v>
      </c>
      <c r="U132" s="974">
        <f>'Infra Build BOQ'!AG151</f>
        <v>0</v>
      </c>
      <c r="V132" s="975">
        <f>'Infra Build BOQ'!AH151</f>
        <v>0</v>
      </c>
      <c r="W132" s="976">
        <f>'Infra Build BOQ'!AI151</f>
        <v>0</v>
      </c>
      <c r="X132" s="974">
        <f>'Infra Build BOQ'!AJ151</f>
        <v>0</v>
      </c>
      <c r="Y132" s="975">
        <f>'Infra Build BOQ'!AK151</f>
        <v>0</v>
      </c>
      <c r="Z132" s="977">
        <f>'Infra Build BOQ'!AL151</f>
        <v>0</v>
      </c>
    </row>
    <row r="133" spans="2:26" s="296" customFormat="1">
      <c r="B133" s="952">
        <f>'Master BOQ Pricing_2018-01-08'!B152</f>
        <v>8.2799999999999994</v>
      </c>
      <c r="C133" s="953" t="str">
        <f>'Master BOQ Pricing_2018-01-08'!C152</f>
        <v>Install 50mm Stainless Steel Pipe</v>
      </c>
      <c r="D133" s="954" t="str">
        <f>'Master BOQ Pricing_2018-01-08'!D152</f>
        <v>m</v>
      </c>
      <c r="E133" s="955">
        <f>'Master BOQ Pricing_2018-01-08'!E152</f>
        <v>18</v>
      </c>
      <c r="F133" s="956">
        <f>'Infra Build BOQ'!F152</f>
        <v>0</v>
      </c>
      <c r="G133" s="957">
        <f>'Infra Build BOQ'!G152</f>
        <v>0</v>
      </c>
      <c r="H133" s="973">
        <f>'Infra Build BOQ'!T152</f>
        <v>0</v>
      </c>
      <c r="I133" s="974">
        <f>'Infra Build BOQ'!U152</f>
        <v>0</v>
      </c>
      <c r="J133" s="975">
        <f>'Infra Build BOQ'!V152</f>
        <v>0</v>
      </c>
      <c r="K133" s="976">
        <f>'Infra Build BOQ'!W152</f>
        <v>0</v>
      </c>
      <c r="L133" s="973">
        <f>'Infra Build BOQ'!X152</f>
        <v>0</v>
      </c>
      <c r="M133" s="974">
        <f>'Infra Build BOQ'!Y152</f>
        <v>0</v>
      </c>
      <c r="N133" s="975">
        <f>'Infra Build BOQ'!Z152</f>
        <v>0</v>
      </c>
      <c r="O133" s="976">
        <f>'Infra Build BOQ'!AA152</f>
        <v>0</v>
      </c>
      <c r="P133" s="973">
        <f>'Infra Build BOQ'!AB152</f>
        <v>0</v>
      </c>
      <c r="Q133" s="974">
        <f>'Infra Build BOQ'!AC152</f>
        <v>0</v>
      </c>
      <c r="R133" s="975">
        <f>'Infra Build BOQ'!AD152</f>
        <v>0</v>
      </c>
      <c r="S133" s="976">
        <f>'Infra Build BOQ'!AE152</f>
        <v>0</v>
      </c>
      <c r="T133" s="973">
        <f>'Infra Build BOQ'!AF152</f>
        <v>0</v>
      </c>
      <c r="U133" s="974">
        <f>'Infra Build BOQ'!AG152</f>
        <v>0</v>
      </c>
      <c r="V133" s="975">
        <f>'Infra Build BOQ'!AH152</f>
        <v>0</v>
      </c>
      <c r="W133" s="976">
        <f>'Infra Build BOQ'!AI152</f>
        <v>0</v>
      </c>
      <c r="X133" s="974">
        <f>'Infra Build BOQ'!AJ152</f>
        <v>0</v>
      </c>
      <c r="Y133" s="975">
        <f>'Infra Build BOQ'!AK152</f>
        <v>0</v>
      </c>
      <c r="Z133" s="977">
        <f>'Infra Build BOQ'!AL152</f>
        <v>0</v>
      </c>
    </row>
    <row r="134" spans="2:26" s="296" customFormat="1">
      <c r="B134" s="952">
        <f>'Master BOQ Pricing_2018-01-08'!B153</f>
        <v>8.2899999999999991</v>
      </c>
      <c r="C134" s="953" t="str">
        <f>'Master BOQ Pricing_2018-01-08'!C153</f>
        <v>Supply and Install 6U x 400+200mm -19" Wall mount Swing Cabinet</v>
      </c>
      <c r="D134" s="954" t="str">
        <f>'Master BOQ Pricing_2018-01-08'!D153</f>
        <v>ea</v>
      </c>
      <c r="E134" s="955">
        <f>'Master BOQ Pricing_2018-01-08'!E153</f>
        <v>1953.5</v>
      </c>
      <c r="F134" s="956">
        <f>'Infra Build BOQ'!F153</f>
        <v>0</v>
      </c>
      <c r="G134" s="957">
        <f>'Infra Build BOQ'!G153</f>
        <v>0</v>
      </c>
      <c r="H134" s="973">
        <f>'Infra Build BOQ'!T153</f>
        <v>0</v>
      </c>
      <c r="I134" s="974">
        <f>'Infra Build BOQ'!U153</f>
        <v>0</v>
      </c>
      <c r="J134" s="975">
        <f>'Infra Build BOQ'!V153</f>
        <v>0</v>
      </c>
      <c r="K134" s="976">
        <f>'Infra Build BOQ'!W153</f>
        <v>0</v>
      </c>
      <c r="L134" s="973">
        <f>'Infra Build BOQ'!X153</f>
        <v>0</v>
      </c>
      <c r="M134" s="974">
        <f>'Infra Build BOQ'!Y153</f>
        <v>0</v>
      </c>
      <c r="N134" s="975">
        <f>'Infra Build BOQ'!Z153</f>
        <v>0</v>
      </c>
      <c r="O134" s="976">
        <f>'Infra Build BOQ'!AA153</f>
        <v>0</v>
      </c>
      <c r="P134" s="973">
        <f>'Infra Build BOQ'!AB153</f>
        <v>0</v>
      </c>
      <c r="Q134" s="974">
        <f>'Infra Build BOQ'!AC153</f>
        <v>0</v>
      </c>
      <c r="R134" s="975">
        <f>'Infra Build BOQ'!AD153</f>
        <v>0</v>
      </c>
      <c r="S134" s="976">
        <f>'Infra Build BOQ'!AE153</f>
        <v>0</v>
      </c>
      <c r="T134" s="973">
        <f>'Infra Build BOQ'!AF153</f>
        <v>0</v>
      </c>
      <c r="U134" s="974">
        <f>'Infra Build BOQ'!AG153</f>
        <v>0</v>
      </c>
      <c r="V134" s="975">
        <f>'Infra Build BOQ'!AH153</f>
        <v>0</v>
      </c>
      <c r="W134" s="976">
        <f>'Infra Build BOQ'!AI153</f>
        <v>0</v>
      </c>
      <c r="X134" s="974">
        <f>'Infra Build BOQ'!AJ153</f>
        <v>0</v>
      </c>
      <c r="Y134" s="975">
        <f>'Infra Build BOQ'!AK153</f>
        <v>0</v>
      </c>
      <c r="Z134" s="977">
        <f>'Infra Build BOQ'!AL153</f>
        <v>0</v>
      </c>
    </row>
    <row r="135" spans="2:26" s="296" customFormat="1">
      <c r="B135" s="952">
        <f>'Master BOQ Pricing_2018-01-08'!B154</f>
        <v>8.3000000000000007</v>
      </c>
      <c r="C135" s="953" t="str">
        <f>'Master BOQ Pricing_2018-01-08'!C154</f>
        <v>Supply and Install 9U x 400+200mm -19" Wall mount Swing Cabinet</v>
      </c>
      <c r="D135" s="954" t="str">
        <f>'Master BOQ Pricing_2018-01-08'!D154</f>
        <v>ea</v>
      </c>
      <c r="E135" s="955">
        <f>'Master BOQ Pricing_2018-01-08'!E154</f>
        <v>2566</v>
      </c>
      <c r="F135" s="956">
        <f>'Infra Build BOQ'!F154</f>
        <v>0</v>
      </c>
      <c r="G135" s="957">
        <f>'Infra Build BOQ'!G154</f>
        <v>0</v>
      </c>
      <c r="H135" s="973">
        <f>'Infra Build BOQ'!T154</f>
        <v>0</v>
      </c>
      <c r="I135" s="974">
        <f>'Infra Build BOQ'!U154</f>
        <v>0</v>
      </c>
      <c r="J135" s="975">
        <f>'Infra Build BOQ'!V154</f>
        <v>0</v>
      </c>
      <c r="K135" s="976">
        <f>'Infra Build BOQ'!W154</f>
        <v>0</v>
      </c>
      <c r="L135" s="973">
        <f>'Infra Build BOQ'!X154</f>
        <v>0</v>
      </c>
      <c r="M135" s="974">
        <f>'Infra Build BOQ'!Y154</f>
        <v>0</v>
      </c>
      <c r="N135" s="975">
        <f>'Infra Build BOQ'!Z154</f>
        <v>0</v>
      </c>
      <c r="O135" s="976">
        <f>'Infra Build BOQ'!AA154</f>
        <v>0</v>
      </c>
      <c r="P135" s="973">
        <f>'Infra Build BOQ'!AB154</f>
        <v>0</v>
      </c>
      <c r="Q135" s="974">
        <f>'Infra Build BOQ'!AC154</f>
        <v>0</v>
      </c>
      <c r="R135" s="975">
        <f>'Infra Build BOQ'!AD154</f>
        <v>0</v>
      </c>
      <c r="S135" s="976">
        <f>'Infra Build BOQ'!AE154</f>
        <v>0</v>
      </c>
      <c r="T135" s="973">
        <f>'Infra Build BOQ'!AF154</f>
        <v>0</v>
      </c>
      <c r="U135" s="974">
        <f>'Infra Build BOQ'!AG154</f>
        <v>0</v>
      </c>
      <c r="V135" s="975">
        <f>'Infra Build BOQ'!AH154</f>
        <v>0</v>
      </c>
      <c r="W135" s="976">
        <f>'Infra Build BOQ'!AI154</f>
        <v>0</v>
      </c>
      <c r="X135" s="974">
        <f>'Infra Build BOQ'!AJ154</f>
        <v>0</v>
      </c>
      <c r="Y135" s="975">
        <f>'Infra Build BOQ'!AK154</f>
        <v>0</v>
      </c>
      <c r="Z135" s="977">
        <f>'Infra Build BOQ'!AL154</f>
        <v>0</v>
      </c>
    </row>
    <row r="136" spans="2:26" s="296" customFormat="1">
      <c r="B136" s="952">
        <f>'Master BOQ Pricing_2018-01-08'!B155</f>
        <v>8.31</v>
      </c>
      <c r="C136" s="953" t="str">
        <f>'Master BOQ Pricing_2018-01-08'!C155</f>
        <v>Install up to 12 U Cabinet</v>
      </c>
      <c r="D136" s="954" t="str">
        <f>'Master BOQ Pricing_2018-01-08'!D155</f>
        <v>ea</v>
      </c>
      <c r="E136" s="955">
        <f>'Master BOQ Pricing_2018-01-08'!E155</f>
        <v>500</v>
      </c>
      <c r="F136" s="956">
        <f>'Infra Build BOQ'!F155</f>
        <v>0</v>
      </c>
      <c r="G136" s="957">
        <f>'Infra Build BOQ'!G155</f>
        <v>0</v>
      </c>
      <c r="H136" s="973">
        <f>'Infra Build BOQ'!T155</f>
        <v>0</v>
      </c>
      <c r="I136" s="974">
        <f>'Infra Build BOQ'!U155</f>
        <v>0</v>
      </c>
      <c r="J136" s="975">
        <f>'Infra Build BOQ'!V155</f>
        <v>0</v>
      </c>
      <c r="K136" s="976">
        <f>'Infra Build BOQ'!W155</f>
        <v>0</v>
      </c>
      <c r="L136" s="973">
        <f>'Infra Build BOQ'!X155</f>
        <v>0</v>
      </c>
      <c r="M136" s="974">
        <f>'Infra Build BOQ'!Y155</f>
        <v>0</v>
      </c>
      <c r="N136" s="975">
        <f>'Infra Build BOQ'!Z155</f>
        <v>0</v>
      </c>
      <c r="O136" s="976">
        <f>'Infra Build BOQ'!AA155</f>
        <v>0</v>
      </c>
      <c r="P136" s="973">
        <f>'Infra Build BOQ'!AB155</f>
        <v>0</v>
      </c>
      <c r="Q136" s="974">
        <f>'Infra Build BOQ'!AC155</f>
        <v>0</v>
      </c>
      <c r="R136" s="975">
        <f>'Infra Build BOQ'!AD155</f>
        <v>0</v>
      </c>
      <c r="S136" s="976">
        <f>'Infra Build BOQ'!AE155</f>
        <v>0</v>
      </c>
      <c r="T136" s="973">
        <f>'Infra Build BOQ'!AF155</f>
        <v>0</v>
      </c>
      <c r="U136" s="974">
        <f>'Infra Build BOQ'!AG155</f>
        <v>0</v>
      </c>
      <c r="V136" s="975">
        <f>'Infra Build BOQ'!AH155</f>
        <v>0</v>
      </c>
      <c r="W136" s="976">
        <f>'Infra Build BOQ'!AI155</f>
        <v>0</v>
      </c>
      <c r="X136" s="974">
        <f>'Infra Build BOQ'!AJ155</f>
        <v>0</v>
      </c>
      <c r="Y136" s="975">
        <f>'Infra Build BOQ'!AK155</f>
        <v>0</v>
      </c>
      <c r="Z136" s="977">
        <f>'Infra Build BOQ'!AL155</f>
        <v>0</v>
      </c>
    </row>
    <row r="137" spans="2:26" s="296" customFormat="1">
      <c r="B137" s="952">
        <f>'Master BOQ Pricing_2018-01-08'!B156</f>
        <v>8.32</v>
      </c>
      <c r="C137" s="953" t="str">
        <f>'Master BOQ Pricing_2018-01-08'!C156</f>
        <v>Prepare and install Fibre Termination Point  4 / 12 / 24  way Wall Mount Distribution Box including accessories</v>
      </c>
      <c r="D137" s="954" t="str">
        <f>'Master BOQ Pricing_2018-01-08'!D156</f>
        <v>ea</v>
      </c>
      <c r="E137" s="955">
        <f>'Master BOQ Pricing_2018-01-08'!E156</f>
        <v>67.069999999999993</v>
      </c>
      <c r="F137" s="956">
        <f>'Infra Build BOQ'!F156</f>
        <v>1</v>
      </c>
      <c r="G137" s="957">
        <f>'Infra Build BOQ'!G156</f>
        <v>67.069999999999993</v>
      </c>
      <c r="H137" s="973">
        <f>'Infra Build BOQ'!T156</f>
        <v>0</v>
      </c>
      <c r="I137" s="974">
        <f>'Infra Build BOQ'!U156</f>
        <v>1</v>
      </c>
      <c r="J137" s="975">
        <f>'Infra Build BOQ'!V156</f>
        <v>67.069999999999993</v>
      </c>
      <c r="K137" s="976">
        <f>'Infra Build BOQ'!W156</f>
        <v>0</v>
      </c>
      <c r="L137" s="973">
        <f>'Infra Build BOQ'!X156</f>
        <v>0</v>
      </c>
      <c r="M137" s="974">
        <f>'Infra Build BOQ'!Y156</f>
        <v>1</v>
      </c>
      <c r="N137" s="975">
        <f>'Infra Build BOQ'!Z156</f>
        <v>67.069999999999993</v>
      </c>
      <c r="O137" s="976">
        <f>'Infra Build BOQ'!AA156</f>
        <v>0</v>
      </c>
      <c r="P137" s="973">
        <f>'Infra Build BOQ'!AB156</f>
        <v>0</v>
      </c>
      <c r="Q137" s="974">
        <f>'Infra Build BOQ'!AC156</f>
        <v>1</v>
      </c>
      <c r="R137" s="975">
        <f>'Infra Build BOQ'!AD156</f>
        <v>67.069999999999993</v>
      </c>
      <c r="S137" s="976">
        <f>'Infra Build BOQ'!AE156</f>
        <v>0</v>
      </c>
      <c r="T137" s="973">
        <f>'Infra Build BOQ'!AF156</f>
        <v>0</v>
      </c>
      <c r="U137" s="974">
        <f>'Infra Build BOQ'!AG156</f>
        <v>1</v>
      </c>
      <c r="V137" s="975">
        <f>'Infra Build BOQ'!AH156</f>
        <v>67.069999999999993</v>
      </c>
      <c r="W137" s="976">
        <f>'Infra Build BOQ'!AI156</f>
        <v>0</v>
      </c>
      <c r="X137" s="974">
        <f>'Infra Build BOQ'!AJ156</f>
        <v>0</v>
      </c>
      <c r="Y137" s="975">
        <f>'Infra Build BOQ'!AK156</f>
        <v>0</v>
      </c>
      <c r="Z137" s="977">
        <f>'Infra Build BOQ'!AL156</f>
        <v>0</v>
      </c>
    </row>
    <row r="138" spans="2:26" s="296" customFormat="1">
      <c r="B138" s="952">
        <f>'Master BOQ Pricing_2018-01-08'!B157</f>
        <v>8.33</v>
      </c>
      <c r="C138" s="953" t="str">
        <f>'Master BOQ Pricing_2018-01-08'!C157</f>
        <v>Supply and Label ODF and Cables on ISP Installations</v>
      </c>
      <c r="D138" s="954" t="str">
        <f>'Master BOQ Pricing_2018-01-08'!D157</f>
        <v>ea</v>
      </c>
      <c r="E138" s="955">
        <f>'Master BOQ Pricing_2018-01-08'!E157</f>
        <v>90.91</v>
      </c>
      <c r="F138" s="956">
        <f>'Infra Build BOQ'!F157</f>
        <v>2</v>
      </c>
      <c r="G138" s="957">
        <f>'Infra Build BOQ'!G157</f>
        <v>181.82</v>
      </c>
      <c r="H138" s="973">
        <f>'Infra Build BOQ'!T157</f>
        <v>0</v>
      </c>
      <c r="I138" s="974">
        <f>'Infra Build BOQ'!U157</f>
        <v>2</v>
      </c>
      <c r="J138" s="975">
        <f>'Infra Build BOQ'!V157</f>
        <v>181.82</v>
      </c>
      <c r="K138" s="976">
        <f>'Infra Build BOQ'!W157</f>
        <v>0</v>
      </c>
      <c r="L138" s="973">
        <f>'Infra Build BOQ'!X157</f>
        <v>0</v>
      </c>
      <c r="M138" s="974">
        <f>'Infra Build BOQ'!Y157</f>
        <v>2</v>
      </c>
      <c r="N138" s="975">
        <f>'Infra Build BOQ'!Z157</f>
        <v>181.82</v>
      </c>
      <c r="O138" s="976">
        <f>'Infra Build BOQ'!AA157</f>
        <v>0</v>
      </c>
      <c r="P138" s="973">
        <f>'Infra Build BOQ'!AB157</f>
        <v>0</v>
      </c>
      <c r="Q138" s="974">
        <f>'Infra Build BOQ'!AC157</f>
        <v>2</v>
      </c>
      <c r="R138" s="975">
        <f>'Infra Build BOQ'!AD157</f>
        <v>181.82</v>
      </c>
      <c r="S138" s="976">
        <f>'Infra Build BOQ'!AE157</f>
        <v>0</v>
      </c>
      <c r="T138" s="973">
        <f>'Infra Build BOQ'!AF157</f>
        <v>0</v>
      </c>
      <c r="U138" s="974">
        <f>'Infra Build BOQ'!AG157</f>
        <v>2</v>
      </c>
      <c r="V138" s="975">
        <f>'Infra Build BOQ'!AH157</f>
        <v>181.82</v>
      </c>
      <c r="W138" s="976">
        <f>'Infra Build BOQ'!AI157</f>
        <v>0</v>
      </c>
      <c r="X138" s="974">
        <f>'Infra Build BOQ'!AJ157</f>
        <v>0</v>
      </c>
      <c r="Y138" s="975">
        <f>'Infra Build BOQ'!AK157</f>
        <v>0</v>
      </c>
      <c r="Z138" s="977">
        <f>'Infra Build BOQ'!AL157</f>
        <v>0</v>
      </c>
    </row>
    <row r="139" spans="2:26" s="296" customFormat="1">
      <c r="B139" s="952">
        <f>'Master BOQ Pricing_2018-01-08'!B158</f>
        <v>8.34</v>
      </c>
      <c r="C139" s="953" t="str">
        <f>'Master BOQ Pricing_2018-01-08'!C158</f>
        <v>Supply and Label Micro Duct on ISP Installations (Heat Shrink, Arrow Label holders, Brother Tape &amp; Cable Ties)</v>
      </c>
      <c r="D139" s="954" t="str">
        <f>'Master BOQ Pricing_2018-01-08'!D158</f>
        <v>ea</v>
      </c>
      <c r="E139" s="955">
        <f>'Master BOQ Pricing_2018-01-08'!E158</f>
        <v>90.91</v>
      </c>
      <c r="F139" s="956">
        <f>'Infra Build BOQ'!F158</f>
        <v>0</v>
      </c>
      <c r="G139" s="957">
        <f>'Infra Build BOQ'!G158</f>
        <v>0</v>
      </c>
      <c r="H139" s="973">
        <f>'Infra Build BOQ'!T158</f>
        <v>0</v>
      </c>
      <c r="I139" s="974">
        <f>'Infra Build BOQ'!U158</f>
        <v>0</v>
      </c>
      <c r="J139" s="975">
        <f>'Infra Build BOQ'!V158</f>
        <v>0</v>
      </c>
      <c r="K139" s="976">
        <f>'Infra Build BOQ'!W158</f>
        <v>0</v>
      </c>
      <c r="L139" s="973">
        <f>'Infra Build BOQ'!X158</f>
        <v>0</v>
      </c>
      <c r="M139" s="974">
        <f>'Infra Build BOQ'!Y158</f>
        <v>0</v>
      </c>
      <c r="N139" s="975">
        <f>'Infra Build BOQ'!Z158</f>
        <v>0</v>
      </c>
      <c r="O139" s="976">
        <f>'Infra Build BOQ'!AA158</f>
        <v>0</v>
      </c>
      <c r="P139" s="973">
        <f>'Infra Build BOQ'!AB158</f>
        <v>0</v>
      </c>
      <c r="Q139" s="974">
        <f>'Infra Build BOQ'!AC158</f>
        <v>0</v>
      </c>
      <c r="R139" s="975">
        <f>'Infra Build BOQ'!AD158</f>
        <v>0</v>
      </c>
      <c r="S139" s="976">
        <f>'Infra Build BOQ'!AE158</f>
        <v>0</v>
      </c>
      <c r="T139" s="973">
        <f>'Infra Build BOQ'!AF158</f>
        <v>0</v>
      </c>
      <c r="U139" s="974">
        <f>'Infra Build BOQ'!AG158</f>
        <v>0</v>
      </c>
      <c r="V139" s="975">
        <f>'Infra Build BOQ'!AH158</f>
        <v>0</v>
      </c>
      <c r="W139" s="976">
        <f>'Infra Build BOQ'!AI158</f>
        <v>0</v>
      </c>
      <c r="X139" s="974">
        <f>'Infra Build BOQ'!AJ158</f>
        <v>0</v>
      </c>
      <c r="Y139" s="975">
        <f>'Infra Build BOQ'!AK158</f>
        <v>0</v>
      </c>
      <c r="Z139" s="977">
        <f>'Infra Build BOQ'!AL158</f>
        <v>0</v>
      </c>
    </row>
    <row r="140" spans="2:26" s="296" customFormat="1">
      <c r="B140" s="952">
        <f>'Master BOQ Pricing_2018-01-08'!B159</f>
        <v>8.35</v>
      </c>
      <c r="C140" s="953" t="str">
        <f>'Master BOQ Pricing_2018-01-08'!C159</f>
        <v>Supply and Label Micro Duct on ISP Installations (Brother Tape on the 1 Way)</v>
      </c>
      <c r="D140" s="954" t="str">
        <f>'Master BOQ Pricing_2018-01-08'!D159</f>
        <v>ea</v>
      </c>
      <c r="E140" s="955">
        <f>'Master BOQ Pricing_2018-01-08'!E159</f>
        <v>25</v>
      </c>
      <c r="F140" s="956">
        <f>'Infra Build BOQ'!F159</f>
        <v>2</v>
      </c>
      <c r="G140" s="957">
        <f>'Infra Build BOQ'!G159</f>
        <v>50</v>
      </c>
      <c r="H140" s="973">
        <f>'Infra Build BOQ'!T159</f>
        <v>0</v>
      </c>
      <c r="I140" s="974">
        <f>'Infra Build BOQ'!U159</f>
        <v>2</v>
      </c>
      <c r="J140" s="975">
        <f>'Infra Build BOQ'!V159</f>
        <v>50</v>
      </c>
      <c r="K140" s="976">
        <f>'Infra Build BOQ'!W159</f>
        <v>0</v>
      </c>
      <c r="L140" s="973">
        <f>'Infra Build BOQ'!X159</f>
        <v>0</v>
      </c>
      <c r="M140" s="974">
        <f>'Infra Build BOQ'!Y159</f>
        <v>2</v>
      </c>
      <c r="N140" s="975">
        <f>'Infra Build BOQ'!Z159</f>
        <v>50</v>
      </c>
      <c r="O140" s="976">
        <f>'Infra Build BOQ'!AA159</f>
        <v>0</v>
      </c>
      <c r="P140" s="973">
        <f>'Infra Build BOQ'!AB159</f>
        <v>0</v>
      </c>
      <c r="Q140" s="974">
        <f>'Infra Build BOQ'!AC159</f>
        <v>2</v>
      </c>
      <c r="R140" s="975">
        <f>'Infra Build BOQ'!AD159</f>
        <v>50</v>
      </c>
      <c r="S140" s="976">
        <f>'Infra Build BOQ'!AE159</f>
        <v>0</v>
      </c>
      <c r="T140" s="973">
        <f>'Infra Build BOQ'!AF159</f>
        <v>0</v>
      </c>
      <c r="U140" s="974">
        <f>'Infra Build BOQ'!AG159</f>
        <v>2</v>
      </c>
      <c r="V140" s="975">
        <f>'Infra Build BOQ'!AH159</f>
        <v>50</v>
      </c>
      <c r="W140" s="976">
        <f>'Infra Build BOQ'!AI159</f>
        <v>0</v>
      </c>
      <c r="X140" s="974">
        <f>'Infra Build BOQ'!AJ159</f>
        <v>0</v>
      </c>
      <c r="Y140" s="975">
        <f>'Infra Build BOQ'!AK159</f>
        <v>0</v>
      </c>
      <c r="Z140" s="977">
        <f>'Infra Build BOQ'!AL159</f>
        <v>0</v>
      </c>
    </row>
    <row r="141" spans="2:26" s="296" customFormat="1">
      <c r="B141" s="963">
        <f>'Master BOQ Pricing_2018-01-08'!B160</f>
        <v>9</v>
      </c>
      <c r="C141" s="964" t="str">
        <f>'Master BOQ Pricing_2018-01-08'!C160</f>
        <v>CABLE FLOATING AND HAULING</v>
      </c>
      <c r="D141" s="965"/>
      <c r="E141" s="966"/>
      <c r="F141" s="978"/>
      <c r="G141" s="979"/>
      <c r="H141" s="980"/>
      <c r="I141" s="981"/>
      <c r="J141" s="982"/>
      <c r="K141" s="983"/>
      <c r="L141" s="980"/>
      <c r="M141" s="981"/>
      <c r="N141" s="982"/>
      <c r="O141" s="983"/>
      <c r="P141" s="980"/>
      <c r="Q141" s="981"/>
      <c r="R141" s="982"/>
      <c r="S141" s="983"/>
      <c r="T141" s="980"/>
      <c r="U141" s="981"/>
      <c r="V141" s="982"/>
      <c r="W141" s="983"/>
      <c r="X141" s="981"/>
      <c r="Y141" s="982"/>
      <c r="Z141" s="984"/>
    </row>
    <row r="142" spans="2:26" s="296" customFormat="1">
      <c r="B142" s="952">
        <f>'Master BOQ Pricing_2018-01-08'!B161</f>
        <v>9.01</v>
      </c>
      <c r="C142" s="953" t="str">
        <f>'Master BOQ Pricing_2018-01-08'!C161</f>
        <v>Install 2 / 4 / 6 / 8 / 12 / 24 Fibre Optic Drop Cable in 1 / 2 / 4 / 7 way micro duct</v>
      </c>
      <c r="D142" s="954" t="str">
        <f>'Infra Build BOQ'!D161</f>
        <v>m</v>
      </c>
      <c r="E142" s="955">
        <f>'Infra Build BOQ'!E161</f>
        <v>4.5</v>
      </c>
      <c r="F142" s="956">
        <f>'Infra Build BOQ'!F161</f>
        <v>0</v>
      </c>
      <c r="G142" s="957">
        <f>'Infra Build BOQ'!G161</f>
        <v>0</v>
      </c>
      <c r="H142" s="973">
        <f>'Infra Build BOQ'!T161</f>
        <v>0</v>
      </c>
      <c r="I142" s="974">
        <f>'Infra Build BOQ'!U161</f>
        <v>0</v>
      </c>
      <c r="J142" s="975">
        <f>'Infra Build BOQ'!V161</f>
        <v>0</v>
      </c>
      <c r="K142" s="976">
        <f>'Infra Build BOQ'!W161</f>
        <v>0</v>
      </c>
      <c r="L142" s="973">
        <f>'Infra Build BOQ'!X161</f>
        <v>0</v>
      </c>
      <c r="M142" s="974">
        <f>'Infra Build BOQ'!Y161</f>
        <v>0</v>
      </c>
      <c r="N142" s="975">
        <f>'Infra Build BOQ'!Z161</f>
        <v>0</v>
      </c>
      <c r="O142" s="976">
        <f>'Infra Build BOQ'!AA161</f>
        <v>0</v>
      </c>
      <c r="P142" s="973">
        <f>'Infra Build BOQ'!AB161</f>
        <v>0</v>
      </c>
      <c r="Q142" s="974">
        <f>'Infra Build BOQ'!AC161</f>
        <v>0</v>
      </c>
      <c r="R142" s="975">
        <f>'Infra Build BOQ'!AD161</f>
        <v>0</v>
      </c>
      <c r="S142" s="976">
        <f>'Infra Build BOQ'!AE161</f>
        <v>0</v>
      </c>
      <c r="T142" s="973">
        <f>'Infra Build BOQ'!AF161</f>
        <v>0</v>
      </c>
      <c r="U142" s="974">
        <f>'Infra Build BOQ'!AG161</f>
        <v>0</v>
      </c>
      <c r="V142" s="975">
        <f>'Infra Build BOQ'!AH161</f>
        <v>0</v>
      </c>
      <c r="W142" s="976">
        <f>'Infra Build BOQ'!AI161</f>
        <v>0</v>
      </c>
      <c r="X142" s="974">
        <f>'Infra Build BOQ'!AJ161</f>
        <v>0</v>
      </c>
      <c r="Y142" s="975">
        <f>'Infra Build BOQ'!AK161</f>
        <v>0</v>
      </c>
      <c r="Z142" s="976">
        <f>'Infra Build BOQ'!AL161</f>
        <v>0</v>
      </c>
    </row>
    <row r="143" spans="2:26" s="296" customFormat="1">
      <c r="B143" s="952">
        <f>'Master BOQ Pricing_2018-01-08'!B162</f>
        <v>9.02</v>
      </c>
      <c r="C143" s="953" t="str">
        <f>'Master BOQ Pricing_2018-01-08'!C162</f>
        <v xml:space="preserve">Floating of Focus/CST Optic fibre cable in 40mm HDPE duct </v>
      </c>
      <c r="D143" s="954" t="str">
        <f>'Infra Build BOQ'!D162</f>
        <v>m</v>
      </c>
      <c r="E143" s="955">
        <f>'Infra Build BOQ'!E162</f>
        <v>5.5</v>
      </c>
      <c r="F143" s="986"/>
      <c r="G143" s="987"/>
      <c r="H143" s="988"/>
      <c r="I143" s="989"/>
      <c r="J143" s="990"/>
      <c r="K143" s="991"/>
      <c r="L143" s="988"/>
      <c r="M143" s="989"/>
      <c r="N143" s="990"/>
      <c r="O143" s="991"/>
      <c r="P143" s="988"/>
      <c r="Q143" s="989"/>
      <c r="R143" s="990"/>
      <c r="S143" s="991"/>
      <c r="T143" s="988"/>
      <c r="U143" s="989"/>
      <c r="V143" s="990"/>
      <c r="W143" s="991"/>
      <c r="X143" s="989"/>
      <c r="Y143" s="990"/>
      <c r="Z143" s="991"/>
    </row>
    <row r="144" spans="2:26" s="296" customFormat="1">
      <c r="B144" s="952">
        <f>'Master BOQ Pricing_2018-01-08'!B163</f>
        <v>9.0299999999999994</v>
      </c>
      <c r="C144" s="953" t="str">
        <f>'Master BOQ Pricing_2018-01-08'!C163</f>
        <v>Floating of Micro cable in 1 / 2 / 4 / 7 way micro duct</v>
      </c>
      <c r="D144" s="954" t="str">
        <f>'Infra Build BOQ'!D163</f>
        <v>m</v>
      </c>
      <c r="E144" s="955">
        <f>'Infra Build BOQ'!E163</f>
        <v>4.5</v>
      </c>
      <c r="F144" s="986"/>
      <c r="G144" s="987"/>
      <c r="H144" s="988"/>
      <c r="I144" s="989"/>
      <c r="J144" s="990"/>
      <c r="K144" s="991"/>
      <c r="L144" s="988"/>
      <c r="M144" s="989"/>
      <c r="N144" s="990"/>
      <c r="O144" s="991"/>
      <c r="P144" s="988"/>
      <c r="Q144" s="989"/>
      <c r="R144" s="990"/>
      <c r="S144" s="991"/>
      <c r="T144" s="988"/>
      <c r="U144" s="989"/>
      <c r="V144" s="990"/>
      <c r="W144" s="991"/>
      <c r="X144" s="989"/>
      <c r="Y144" s="990"/>
      <c r="Z144" s="991"/>
    </row>
    <row r="145" spans="2:26" s="296" customFormat="1">
      <c r="B145" s="952">
        <f>'Master BOQ Pricing_2018-01-08'!B164</f>
        <v>9.0399999999999991</v>
      </c>
      <c r="C145" s="953" t="str">
        <f>'Master BOQ Pricing_2018-01-08'!C164</f>
        <v xml:space="preserve">Pulling of slack between manholes (existing cables  Measurement of slack in manhole only) </v>
      </c>
      <c r="D145" s="954" t="str">
        <f>'Infra Build BOQ'!D164</f>
        <v>m</v>
      </c>
      <c r="E145" s="955">
        <f>'Infra Build BOQ'!E164</f>
        <v>3</v>
      </c>
      <c r="F145" s="956">
        <f>'Infra Build BOQ'!F164</f>
        <v>0</v>
      </c>
      <c r="G145" s="957">
        <f>'Infra Build BOQ'!G164</f>
        <v>0</v>
      </c>
      <c r="H145" s="973">
        <f>'Infra Build BOQ'!T164</f>
        <v>0</v>
      </c>
      <c r="I145" s="974">
        <f>'Infra Build BOQ'!U164</f>
        <v>0</v>
      </c>
      <c r="J145" s="975">
        <f>'Infra Build BOQ'!V164</f>
        <v>0</v>
      </c>
      <c r="K145" s="976">
        <f>'Infra Build BOQ'!W164</f>
        <v>0</v>
      </c>
      <c r="L145" s="973">
        <f>'Infra Build BOQ'!X164</f>
        <v>0</v>
      </c>
      <c r="M145" s="974">
        <f>'Infra Build BOQ'!Y164</f>
        <v>0</v>
      </c>
      <c r="N145" s="975">
        <f>'Infra Build BOQ'!Z164</f>
        <v>0</v>
      </c>
      <c r="O145" s="976">
        <f>'Infra Build BOQ'!AA164</f>
        <v>0</v>
      </c>
      <c r="P145" s="973">
        <f>'Infra Build BOQ'!AB164</f>
        <v>0</v>
      </c>
      <c r="Q145" s="974">
        <f>'Infra Build BOQ'!AC164</f>
        <v>0</v>
      </c>
      <c r="R145" s="975">
        <f>'Infra Build BOQ'!AD164</f>
        <v>0</v>
      </c>
      <c r="S145" s="976">
        <f>'Infra Build BOQ'!AE164</f>
        <v>0</v>
      </c>
      <c r="T145" s="973">
        <f>'Infra Build BOQ'!AF164</f>
        <v>0</v>
      </c>
      <c r="U145" s="974">
        <f>'Infra Build BOQ'!AG164</f>
        <v>0</v>
      </c>
      <c r="V145" s="975">
        <f>'Infra Build BOQ'!AH164</f>
        <v>0</v>
      </c>
      <c r="W145" s="976">
        <f>'Infra Build BOQ'!AI164</f>
        <v>0</v>
      </c>
      <c r="X145" s="974">
        <f>'Infra Build BOQ'!AJ164</f>
        <v>0</v>
      </c>
      <c r="Y145" s="975">
        <f>'Infra Build BOQ'!AK164</f>
        <v>0</v>
      </c>
      <c r="Z145" s="976">
        <f>'Infra Build BOQ'!AL164</f>
        <v>0</v>
      </c>
    </row>
    <row r="146" spans="2:26" s="296" customFormat="1">
      <c r="B146" s="952">
        <f>'Master BOQ Pricing_2018-01-08'!B165</f>
        <v>9.0500000000000007</v>
      </c>
      <c r="C146" s="953" t="str">
        <f>'Master BOQ Pricing_2018-01-08'!C165</f>
        <v>Installation and pulling/Hauling of fibre optical cable in EXISTING ducts</v>
      </c>
      <c r="D146" s="954" t="str">
        <f>'Infra Build BOQ'!D165</f>
        <v>m</v>
      </c>
      <c r="E146" s="955">
        <f>'Infra Build BOQ'!E165</f>
        <v>9.98</v>
      </c>
      <c r="F146" s="956">
        <f>'Infra Build BOQ'!F165</f>
        <v>0</v>
      </c>
      <c r="G146" s="957">
        <f>'Infra Build BOQ'!G165</f>
        <v>0</v>
      </c>
      <c r="H146" s="973">
        <f>'Infra Build BOQ'!T165</f>
        <v>0</v>
      </c>
      <c r="I146" s="974">
        <f>'Infra Build BOQ'!U165</f>
        <v>0</v>
      </c>
      <c r="J146" s="975">
        <f>'Infra Build BOQ'!V165</f>
        <v>0</v>
      </c>
      <c r="K146" s="976">
        <f>'Infra Build BOQ'!W165</f>
        <v>0</v>
      </c>
      <c r="L146" s="973">
        <f>'Infra Build BOQ'!X165</f>
        <v>0</v>
      </c>
      <c r="M146" s="974">
        <f>'Infra Build BOQ'!Y165</f>
        <v>0</v>
      </c>
      <c r="N146" s="975">
        <f>'Infra Build BOQ'!Z165</f>
        <v>0</v>
      </c>
      <c r="O146" s="976">
        <f>'Infra Build BOQ'!AA165</f>
        <v>0</v>
      </c>
      <c r="P146" s="973">
        <f>'Infra Build BOQ'!AB165</f>
        <v>0</v>
      </c>
      <c r="Q146" s="974">
        <f>'Infra Build BOQ'!AC165</f>
        <v>0</v>
      </c>
      <c r="R146" s="975">
        <f>'Infra Build BOQ'!AD165</f>
        <v>0</v>
      </c>
      <c r="S146" s="976">
        <f>'Infra Build BOQ'!AE165</f>
        <v>0</v>
      </c>
      <c r="T146" s="973">
        <f>'Infra Build BOQ'!AF165</f>
        <v>0</v>
      </c>
      <c r="U146" s="974">
        <f>'Infra Build BOQ'!AG165</f>
        <v>0</v>
      </c>
      <c r="V146" s="975">
        <f>'Infra Build BOQ'!AH165</f>
        <v>0</v>
      </c>
      <c r="W146" s="976">
        <f>'Infra Build BOQ'!AI165</f>
        <v>0</v>
      </c>
      <c r="X146" s="974">
        <f>'Infra Build BOQ'!AJ165</f>
        <v>0</v>
      </c>
      <c r="Y146" s="975">
        <f>'Infra Build BOQ'!AK165</f>
        <v>0</v>
      </c>
      <c r="Z146" s="976">
        <f>'Infra Build BOQ'!AL165</f>
        <v>0</v>
      </c>
    </row>
    <row r="147" spans="2:26" s="296" customFormat="1">
      <c r="B147" s="952">
        <f>'Master BOQ Pricing_2018-01-08'!B166</f>
        <v>9.06</v>
      </c>
      <c r="C147" s="953" t="str">
        <f>'Master BOQ Pricing_2018-01-08'!C166</f>
        <v>Installation and pulling/Hauling of fibre optical cable in NEW ducts</v>
      </c>
      <c r="D147" s="954" t="str">
        <f>'Infra Build BOQ'!D166</f>
        <v>m</v>
      </c>
      <c r="E147" s="955">
        <f>'Infra Build BOQ'!E166</f>
        <v>9.7100000000000009</v>
      </c>
      <c r="F147" s="956">
        <f>'Infra Build BOQ'!F166</f>
        <v>0</v>
      </c>
      <c r="G147" s="957">
        <f>'Infra Build BOQ'!G166</f>
        <v>0</v>
      </c>
      <c r="H147" s="973">
        <f>'Infra Build BOQ'!T166</f>
        <v>0</v>
      </c>
      <c r="I147" s="974">
        <f>'Infra Build BOQ'!U166</f>
        <v>0</v>
      </c>
      <c r="J147" s="975">
        <f>'Infra Build BOQ'!V166</f>
        <v>0</v>
      </c>
      <c r="K147" s="976">
        <f>'Infra Build BOQ'!W166</f>
        <v>0</v>
      </c>
      <c r="L147" s="973">
        <f>'Infra Build BOQ'!X166</f>
        <v>0</v>
      </c>
      <c r="M147" s="974">
        <f>'Infra Build BOQ'!Y166</f>
        <v>0</v>
      </c>
      <c r="N147" s="975">
        <f>'Infra Build BOQ'!Z166</f>
        <v>0</v>
      </c>
      <c r="O147" s="976">
        <f>'Infra Build BOQ'!AA166</f>
        <v>0</v>
      </c>
      <c r="P147" s="973">
        <f>'Infra Build BOQ'!AB166</f>
        <v>0</v>
      </c>
      <c r="Q147" s="974">
        <f>'Infra Build BOQ'!AC166</f>
        <v>0</v>
      </c>
      <c r="R147" s="975">
        <f>'Infra Build BOQ'!AD166</f>
        <v>0</v>
      </c>
      <c r="S147" s="976">
        <f>'Infra Build BOQ'!AE166</f>
        <v>0</v>
      </c>
      <c r="T147" s="973">
        <f>'Infra Build BOQ'!AF166</f>
        <v>0</v>
      </c>
      <c r="U147" s="974">
        <f>'Infra Build BOQ'!AG166</f>
        <v>0</v>
      </c>
      <c r="V147" s="975">
        <f>'Infra Build BOQ'!AH166</f>
        <v>0</v>
      </c>
      <c r="W147" s="976">
        <f>'Infra Build BOQ'!AI166</f>
        <v>0</v>
      </c>
      <c r="X147" s="974">
        <f>'Infra Build BOQ'!AJ166</f>
        <v>0</v>
      </c>
      <c r="Y147" s="975">
        <f>'Infra Build BOQ'!AK166</f>
        <v>0</v>
      </c>
      <c r="Z147" s="976">
        <f>'Infra Build BOQ'!AL166</f>
        <v>0</v>
      </c>
    </row>
    <row r="148" spans="2:26" s="296" customFormat="1">
      <c r="B148" s="952">
        <f>'Master BOQ Pricing_2018-01-08'!B167</f>
        <v>9.07</v>
      </c>
      <c r="C148" s="953" t="str">
        <f>'Master BOQ Pricing_2018-01-08'!C167</f>
        <v>Recovery of cable from existing ducts and sewer</v>
      </c>
      <c r="D148" s="954" t="str">
        <f>'Infra Build BOQ'!D167</f>
        <v>m</v>
      </c>
      <c r="E148" s="955">
        <f>'Infra Build BOQ'!E167</f>
        <v>3</v>
      </c>
      <c r="F148" s="956">
        <f>'Infra Build BOQ'!F167</f>
        <v>0</v>
      </c>
      <c r="G148" s="957">
        <f>'Infra Build BOQ'!G167</f>
        <v>0</v>
      </c>
      <c r="H148" s="973">
        <f>'Infra Build BOQ'!T167</f>
        <v>0</v>
      </c>
      <c r="I148" s="974">
        <f>'Infra Build BOQ'!U167</f>
        <v>0</v>
      </c>
      <c r="J148" s="975">
        <f>'Infra Build BOQ'!V167</f>
        <v>0</v>
      </c>
      <c r="K148" s="976">
        <f>'Infra Build BOQ'!W167</f>
        <v>0</v>
      </c>
      <c r="L148" s="973">
        <f>'Infra Build BOQ'!X167</f>
        <v>0</v>
      </c>
      <c r="M148" s="974">
        <f>'Infra Build BOQ'!Y167</f>
        <v>0</v>
      </c>
      <c r="N148" s="975">
        <f>'Infra Build BOQ'!Z167</f>
        <v>0</v>
      </c>
      <c r="O148" s="976">
        <f>'Infra Build BOQ'!AA167</f>
        <v>0</v>
      </c>
      <c r="P148" s="973">
        <f>'Infra Build BOQ'!AB167</f>
        <v>0</v>
      </c>
      <c r="Q148" s="974">
        <f>'Infra Build BOQ'!AC167</f>
        <v>0</v>
      </c>
      <c r="R148" s="975">
        <f>'Infra Build BOQ'!AD167</f>
        <v>0</v>
      </c>
      <c r="S148" s="976">
        <f>'Infra Build BOQ'!AE167</f>
        <v>0</v>
      </c>
      <c r="T148" s="973">
        <f>'Infra Build BOQ'!AF167</f>
        <v>0</v>
      </c>
      <c r="U148" s="974">
        <f>'Infra Build BOQ'!AG167</f>
        <v>0</v>
      </c>
      <c r="V148" s="975">
        <f>'Infra Build BOQ'!AH167</f>
        <v>0</v>
      </c>
      <c r="W148" s="976">
        <f>'Infra Build BOQ'!AI167</f>
        <v>0</v>
      </c>
      <c r="X148" s="974">
        <f>'Infra Build BOQ'!AJ167</f>
        <v>0</v>
      </c>
      <c r="Y148" s="975">
        <f>'Infra Build BOQ'!AK167</f>
        <v>0</v>
      </c>
      <c r="Z148" s="976">
        <f>'Infra Build BOQ'!AL167</f>
        <v>0</v>
      </c>
    </row>
    <row r="149" spans="2:26" s="296" customFormat="1">
      <c r="B149" s="963">
        <f>'Master BOQ Pricing_2018-01-08'!B196</f>
        <v>13</v>
      </c>
      <c r="C149" s="964" t="str">
        <f>'Master BOQ Pricing_2018-01-08'!C196</f>
        <v>AERIAL LINE CABLE</v>
      </c>
      <c r="D149" s="965"/>
      <c r="E149" s="966"/>
      <c r="F149" s="978"/>
      <c r="G149" s="979"/>
      <c r="H149" s="980"/>
      <c r="I149" s="981"/>
      <c r="J149" s="982"/>
      <c r="K149" s="983"/>
      <c r="L149" s="980"/>
      <c r="M149" s="981"/>
      <c r="N149" s="982"/>
      <c r="O149" s="983"/>
      <c r="P149" s="980"/>
      <c r="Q149" s="981"/>
      <c r="R149" s="982"/>
      <c r="S149" s="983"/>
      <c r="T149" s="980"/>
      <c r="U149" s="981"/>
      <c r="V149" s="982"/>
      <c r="W149" s="983"/>
      <c r="X149" s="981"/>
      <c r="Y149" s="982"/>
      <c r="Z149" s="984"/>
    </row>
    <row r="150" spans="2:26" s="296" customFormat="1">
      <c r="B150" s="952">
        <f>'Master BOQ Pricing_2018-01-08'!B197</f>
        <v>13.01</v>
      </c>
      <c r="C150" s="953" t="str">
        <f>'Master BOQ Pricing_2018-01-08'!C197</f>
        <v>Survey, Dig / Drill and Plant 7.2 m Pole (100mm-125mm) (Hole 350mm Ø x 1200mm deep)</v>
      </c>
      <c r="D150" s="954" t="str">
        <f>'Master BOQ Pricing_2018-01-08'!D197</f>
        <v>ea</v>
      </c>
      <c r="E150" s="955">
        <f>'Master BOQ Pricing_2018-01-08'!E197</f>
        <v>210.57</v>
      </c>
      <c r="F150" s="956">
        <f>'Infra Build BOQ'!F197</f>
        <v>0</v>
      </c>
      <c r="G150" s="957">
        <f>'Infra Build BOQ'!G197</f>
        <v>0</v>
      </c>
      <c r="H150" s="973">
        <f>'Infra Build BOQ'!T197</f>
        <v>0</v>
      </c>
      <c r="I150" s="974">
        <f>'Infra Build BOQ'!U197</f>
        <v>0</v>
      </c>
      <c r="J150" s="975">
        <f>'Infra Build BOQ'!V197</f>
        <v>0</v>
      </c>
      <c r="K150" s="976">
        <f>'Infra Build BOQ'!W197</f>
        <v>0</v>
      </c>
      <c r="L150" s="973">
        <f>'Infra Build BOQ'!X197</f>
        <v>0</v>
      </c>
      <c r="M150" s="974">
        <f>'Infra Build BOQ'!Y197</f>
        <v>0</v>
      </c>
      <c r="N150" s="975">
        <f>'Infra Build BOQ'!Z197</f>
        <v>0</v>
      </c>
      <c r="O150" s="976">
        <f>'Infra Build BOQ'!AA197</f>
        <v>0</v>
      </c>
      <c r="P150" s="973">
        <f>'Infra Build BOQ'!AB197</f>
        <v>0</v>
      </c>
      <c r="Q150" s="974">
        <f>'Infra Build BOQ'!AC197</f>
        <v>0</v>
      </c>
      <c r="R150" s="975">
        <f>'Infra Build BOQ'!AD197</f>
        <v>0</v>
      </c>
      <c r="S150" s="976">
        <f>'Infra Build BOQ'!AE197</f>
        <v>0</v>
      </c>
      <c r="T150" s="973">
        <f>'Infra Build BOQ'!AF197</f>
        <v>0</v>
      </c>
      <c r="U150" s="974">
        <f>'Infra Build BOQ'!AG197</f>
        <v>0</v>
      </c>
      <c r="V150" s="975">
        <f>'Infra Build BOQ'!AH197</f>
        <v>0</v>
      </c>
      <c r="W150" s="976">
        <f>'Infra Build BOQ'!AI197</f>
        <v>0</v>
      </c>
      <c r="X150" s="974">
        <f>'Infra Build BOQ'!AJ197</f>
        <v>0</v>
      </c>
      <c r="Y150" s="975">
        <f>'Infra Build BOQ'!AK197</f>
        <v>0</v>
      </c>
      <c r="Z150" s="977">
        <f>'Infra Build BOQ'!AL197</f>
        <v>0</v>
      </c>
    </row>
    <row r="151" spans="2:26" s="296" customFormat="1">
      <c r="B151" s="952">
        <f>'Master BOQ Pricing_2018-01-08'!B198</f>
        <v>13.02</v>
      </c>
      <c r="C151" s="953" t="str">
        <f>'Master BOQ Pricing_2018-01-08'!C198</f>
        <v>Survey, Dig / Drill and Plant 9 m Pole (125mm-150mm) (Hole 350mm Ø x 1500mm deep)</v>
      </c>
      <c r="D151" s="954" t="str">
        <f>'Master BOQ Pricing_2018-01-08'!D198</f>
        <v>ea</v>
      </c>
      <c r="E151" s="955">
        <f>'Master BOQ Pricing_2018-01-08'!E198</f>
        <v>252.69</v>
      </c>
      <c r="F151" s="956">
        <f>'Infra Build BOQ'!F198</f>
        <v>0</v>
      </c>
      <c r="G151" s="957">
        <f>'Infra Build BOQ'!G198</f>
        <v>0</v>
      </c>
      <c r="H151" s="973">
        <f>'Infra Build BOQ'!T198</f>
        <v>0</v>
      </c>
      <c r="I151" s="974">
        <f>'Infra Build BOQ'!U198</f>
        <v>0</v>
      </c>
      <c r="J151" s="975">
        <f>'Infra Build BOQ'!V198</f>
        <v>0</v>
      </c>
      <c r="K151" s="976">
        <f>'Infra Build BOQ'!W198</f>
        <v>0</v>
      </c>
      <c r="L151" s="973">
        <f>'Infra Build BOQ'!X198</f>
        <v>0</v>
      </c>
      <c r="M151" s="974">
        <f>'Infra Build BOQ'!Y198</f>
        <v>0</v>
      </c>
      <c r="N151" s="975">
        <f>'Infra Build BOQ'!Z198</f>
        <v>0</v>
      </c>
      <c r="O151" s="976">
        <f>'Infra Build BOQ'!AA198</f>
        <v>0</v>
      </c>
      <c r="P151" s="973">
        <f>'Infra Build BOQ'!AB198</f>
        <v>0</v>
      </c>
      <c r="Q151" s="974">
        <f>'Infra Build BOQ'!AC198</f>
        <v>0</v>
      </c>
      <c r="R151" s="975">
        <f>'Infra Build BOQ'!AD198</f>
        <v>0</v>
      </c>
      <c r="S151" s="976">
        <f>'Infra Build BOQ'!AE198</f>
        <v>0</v>
      </c>
      <c r="T151" s="973">
        <f>'Infra Build BOQ'!AF198</f>
        <v>0</v>
      </c>
      <c r="U151" s="974">
        <f>'Infra Build BOQ'!AG198</f>
        <v>0</v>
      </c>
      <c r="V151" s="975">
        <f>'Infra Build BOQ'!AH198</f>
        <v>0</v>
      </c>
      <c r="W151" s="976">
        <f>'Infra Build BOQ'!AI198</f>
        <v>0</v>
      </c>
      <c r="X151" s="974">
        <f>'Infra Build BOQ'!AJ198</f>
        <v>0</v>
      </c>
      <c r="Y151" s="975">
        <f>'Infra Build BOQ'!AK198</f>
        <v>0</v>
      </c>
      <c r="Z151" s="977">
        <f>'Infra Build BOQ'!AL198</f>
        <v>0</v>
      </c>
    </row>
    <row r="152" spans="2:26" s="296" customFormat="1">
      <c r="B152" s="952">
        <f>'Master BOQ Pricing_2018-01-08'!B199</f>
        <v>13.03</v>
      </c>
      <c r="C152" s="953" t="str">
        <f>'Master BOQ Pricing_2018-01-08'!C199</f>
        <v>Survey Dig  Plant and Fit All Sizes Struts Complete To Poles</v>
      </c>
      <c r="D152" s="954" t="str">
        <f>'Master BOQ Pricing_2018-01-08'!D199</f>
        <v>ea</v>
      </c>
      <c r="E152" s="955">
        <f>'Master BOQ Pricing_2018-01-08'!E199</f>
        <v>159.18</v>
      </c>
      <c r="F152" s="956">
        <f>'Infra Build BOQ'!F199</f>
        <v>0</v>
      </c>
      <c r="G152" s="957">
        <f>'Infra Build BOQ'!G199</f>
        <v>0</v>
      </c>
      <c r="H152" s="973">
        <f>'Infra Build BOQ'!T199</f>
        <v>0</v>
      </c>
      <c r="I152" s="974">
        <f>'Infra Build BOQ'!U199</f>
        <v>0</v>
      </c>
      <c r="J152" s="975">
        <f>'Infra Build BOQ'!V199</f>
        <v>0</v>
      </c>
      <c r="K152" s="976">
        <f>'Infra Build BOQ'!W199</f>
        <v>0</v>
      </c>
      <c r="L152" s="973">
        <f>'Infra Build BOQ'!X199</f>
        <v>0</v>
      </c>
      <c r="M152" s="974">
        <f>'Infra Build BOQ'!Y199</f>
        <v>0</v>
      </c>
      <c r="N152" s="975">
        <f>'Infra Build BOQ'!Z199</f>
        <v>0</v>
      </c>
      <c r="O152" s="976">
        <f>'Infra Build BOQ'!AA199</f>
        <v>0</v>
      </c>
      <c r="P152" s="973">
        <f>'Infra Build BOQ'!AB199</f>
        <v>0</v>
      </c>
      <c r="Q152" s="974">
        <f>'Infra Build BOQ'!AC199</f>
        <v>0</v>
      </c>
      <c r="R152" s="975">
        <f>'Infra Build BOQ'!AD199</f>
        <v>0</v>
      </c>
      <c r="S152" s="976">
        <f>'Infra Build BOQ'!AE199</f>
        <v>0</v>
      </c>
      <c r="T152" s="973">
        <f>'Infra Build BOQ'!AF199</f>
        <v>0</v>
      </c>
      <c r="U152" s="974">
        <f>'Infra Build BOQ'!AG199</f>
        <v>0</v>
      </c>
      <c r="V152" s="975">
        <f>'Infra Build BOQ'!AH199</f>
        <v>0</v>
      </c>
      <c r="W152" s="976">
        <f>'Infra Build BOQ'!AI199</f>
        <v>0</v>
      </c>
      <c r="X152" s="974">
        <f>'Infra Build BOQ'!AJ199</f>
        <v>0</v>
      </c>
      <c r="Y152" s="975">
        <f>'Infra Build BOQ'!AK199</f>
        <v>0</v>
      </c>
      <c r="Z152" s="977">
        <f>'Infra Build BOQ'!AL199</f>
        <v>0</v>
      </c>
    </row>
    <row r="153" spans="2:26" s="296" customFormat="1" ht="27.6" customHeight="1">
      <c r="B153" s="952">
        <f>'Master BOQ Pricing_2018-01-08'!B200</f>
        <v>13.04</v>
      </c>
      <c r="C153" s="953" t="str">
        <f>'Master BOQ Pricing_2018-01-08'!C200</f>
        <v>Survey, Drill or Dig and Plant Stays or Stay Plates and Rods As Surveyed 12mm Stay Hole (350mm X 350mm X 1000mm Deep) Including Stay Wire 7 x 1.7mm, Guy Grip,Bracket 45DEG for Stay Wire Grip and Duckbill Stay Anchor</v>
      </c>
      <c r="D153" s="954" t="str">
        <f>'Master BOQ Pricing_2018-01-08'!D200</f>
        <v>ea</v>
      </c>
      <c r="E153" s="955">
        <f>'Master BOQ Pricing_2018-01-08'!E200</f>
        <v>186.55</v>
      </c>
      <c r="F153" s="956">
        <f>'Infra Build BOQ'!F200</f>
        <v>0</v>
      </c>
      <c r="G153" s="957">
        <f>'Infra Build BOQ'!G200</f>
        <v>0</v>
      </c>
      <c r="H153" s="973">
        <f>'Infra Build BOQ'!T200</f>
        <v>0</v>
      </c>
      <c r="I153" s="974">
        <f>'Infra Build BOQ'!U200</f>
        <v>0</v>
      </c>
      <c r="J153" s="975">
        <f>'Infra Build BOQ'!V200</f>
        <v>0</v>
      </c>
      <c r="K153" s="976">
        <f>'Infra Build BOQ'!W200</f>
        <v>0</v>
      </c>
      <c r="L153" s="973">
        <f>'Infra Build BOQ'!X200</f>
        <v>0</v>
      </c>
      <c r="M153" s="974">
        <f>'Infra Build BOQ'!Y200</f>
        <v>0</v>
      </c>
      <c r="N153" s="975">
        <f>'Infra Build BOQ'!Z200</f>
        <v>0</v>
      </c>
      <c r="O153" s="976">
        <f>'Infra Build BOQ'!AA200</f>
        <v>0</v>
      </c>
      <c r="P153" s="973">
        <f>'Infra Build BOQ'!AB200</f>
        <v>0</v>
      </c>
      <c r="Q153" s="974">
        <f>'Infra Build BOQ'!AC200</f>
        <v>0</v>
      </c>
      <c r="R153" s="975">
        <f>'Infra Build BOQ'!AD200</f>
        <v>0</v>
      </c>
      <c r="S153" s="976">
        <f>'Infra Build BOQ'!AE200</f>
        <v>0</v>
      </c>
      <c r="T153" s="973">
        <f>'Infra Build BOQ'!AF200</f>
        <v>0</v>
      </c>
      <c r="U153" s="974">
        <f>'Infra Build BOQ'!AG200</f>
        <v>0</v>
      </c>
      <c r="V153" s="975">
        <f>'Infra Build BOQ'!AH200</f>
        <v>0</v>
      </c>
      <c r="W153" s="976">
        <f>'Infra Build BOQ'!AI200</f>
        <v>0</v>
      </c>
      <c r="X153" s="974">
        <f>'Infra Build BOQ'!AJ200</f>
        <v>0</v>
      </c>
      <c r="Y153" s="975">
        <f>'Infra Build BOQ'!AK200</f>
        <v>0</v>
      </c>
      <c r="Z153" s="977">
        <f>'Infra Build BOQ'!AL200</f>
        <v>0</v>
      </c>
    </row>
    <row r="154" spans="2:26" s="296" customFormat="1" ht="27.6" customHeight="1">
      <c r="B154" s="952">
        <f>'Master BOQ Pricing_2018-01-08'!B201</f>
        <v>13.05</v>
      </c>
      <c r="C154" s="953" t="str">
        <f>'Master BOQ Pricing_2018-01-08'!C201</f>
        <v>Install M12 x 220 Pigtail bolt nut and washer with Double Hook and Dead End FDE 375/414 for ADSS 9.5-10.5mm (4, 8, 12 &amp; 24 Fibre)</v>
      </c>
      <c r="D154" s="954" t="str">
        <f>'Master BOQ Pricing_2018-01-08'!D201</f>
        <v>ea</v>
      </c>
      <c r="E154" s="955">
        <f>'Master BOQ Pricing_2018-01-08'!E201</f>
        <v>71.069999999999993</v>
      </c>
      <c r="F154" s="956">
        <f>'Infra Build BOQ'!F201</f>
        <v>0</v>
      </c>
      <c r="G154" s="957">
        <f>'Infra Build BOQ'!G201</f>
        <v>0</v>
      </c>
      <c r="H154" s="973">
        <f>'Infra Build BOQ'!T201</f>
        <v>0</v>
      </c>
      <c r="I154" s="974">
        <f>'Infra Build BOQ'!U201</f>
        <v>0</v>
      </c>
      <c r="J154" s="975">
        <f>'Infra Build BOQ'!V201</f>
        <v>0</v>
      </c>
      <c r="K154" s="976">
        <f>'Infra Build BOQ'!W201</f>
        <v>0</v>
      </c>
      <c r="L154" s="973">
        <f>'Infra Build BOQ'!X201</f>
        <v>0</v>
      </c>
      <c r="M154" s="974">
        <f>'Infra Build BOQ'!Y201</f>
        <v>0</v>
      </c>
      <c r="N154" s="975">
        <f>'Infra Build BOQ'!Z201</f>
        <v>0</v>
      </c>
      <c r="O154" s="976">
        <f>'Infra Build BOQ'!AA201</f>
        <v>0</v>
      </c>
      <c r="P154" s="973">
        <f>'Infra Build BOQ'!AB201</f>
        <v>0</v>
      </c>
      <c r="Q154" s="974">
        <f>'Infra Build BOQ'!AC201</f>
        <v>0</v>
      </c>
      <c r="R154" s="975">
        <f>'Infra Build BOQ'!AD201</f>
        <v>0</v>
      </c>
      <c r="S154" s="976">
        <f>'Infra Build BOQ'!AE201</f>
        <v>0</v>
      </c>
      <c r="T154" s="973">
        <f>'Infra Build BOQ'!AF201</f>
        <v>0</v>
      </c>
      <c r="U154" s="974">
        <f>'Infra Build BOQ'!AG201</f>
        <v>0</v>
      </c>
      <c r="V154" s="975">
        <f>'Infra Build BOQ'!AH201</f>
        <v>0</v>
      </c>
      <c r="W154" s="976">
        <f>'Infra Build BOQ'!AI201</f>
        <v>0</v>
      </c>
      <c r="X154" s="974">
        <f>'Infra Build BOQ'!AJ201</f>
        <v>0</v>
      </c>
      <c r="Y154" s="975">
        <f>'Infra Build BOQ'!AK201</f>
        <v>0</v>
      </c>
      <c r="Z154" s="977">
        <f>'Infra Build BOQ'!AL201</f>
        <v>0</v>
      </c>
    </row>
    <row r="155" spans="2:26" s="296" customFormat="1" ht="27.6" customHeight="1">
      <c r="B155" s="952">
        <f>'Master BOQ Pricing_2018-01-08'!B202</f>
        <v>13.06</v>
      </c>
      <c r="C155" s="953" t="str">
        <f>'Master BOQ Pricing_2018-01-08'!C202</f>
        <v>Install M12 x 220 Pigtail bolt nut and washer with Double Hook and Dead End FDE 415/459 for ADSS 10.54-11.66mm (48 &amp; 72 Fibre)</v>
      </c>
      <c r="D155" s="954" t="str">
        <f>'Master BOQ Pricing_2018-01-08'!D202</f>
        <v>ea</v>
      </c>
      <c r="E155" s="955">
        <f>'Master BOQ Pricing_2018-01-08'!E202</f>
        <v>75.069999999999993</v>
      </c>
      <c r="F155" s="956">
        <f>'Infra Build BOQ'!F202</f>
        <v>0</v>
      </c>
      <c r="G155" s="957">
        <f>'Infra Build BOQ'!G202</f>
        <v>0</v>
      </c>
      <c r="H155" s="973">
        <f>'Infra Build BOQ'!T202</f>
        <v>0</v>
      </c>
      <c r="I155" s="974">
        <f>'Infra Build BOQ'!U202</f>
        <v>0</v>
      </c>
      <c r="J155" s="975">
        <f>'Infra Build BOQ'!V202</f>
        <v>0</v>
      </c>
      <c r="K155" s="976">
        <f>'Infra Build BOQ'!W202</f>
        <v>0</v>
      </c>
      <c r="L155" s="973">
        <f>'Infra Build BOQ'!X202</f>
        <v>0</v>
      </c>
      <c r="M155" s="974">
        <f>'Infra Build BOQ'!Y202</f>
        <v>0</v>
      </c>
      <c r="N155" s="975">
        <f>'Infra Build BOQ'!Z202</f>
        <v>0</v>
      </c>
      <c r="O155" s="976">
        <f>'Infra Build BOQ'!AA202</f>
        <v>0</v>
      </c>
      <c r="P155" s="973">
        <f>'Infra Build BOQ'!AB202</f>
        <v>0</v>
      </c>
      <c r="Q155" s="974">
        <f>'Infra Build BOQ'!AC202</f>
        <v>0</v>
      </c>
      <c r="R155" s="975">
        <f>'Infra Build BOQ'!AD202</f>
        <v>0</v>
      </c>
      <c r="S155" s="976">
        <f>'Infra Build BOQ'!AE202</f>
        <v>0</v>
      </c>
      <c r="T155" s="973">
        <f>'Infra Build BOQ'!AF202</f>
        <v>0</v>
      </c>
      <c r="U155" s="974">
        <f>'Infra Build BOQ'!AG202</f>
        <v>0</v>
      </c>
      <c r="V155" s="975">
        <f>'Infra Build BOQ'!AH202</f>
        <v>0</v>
      </c>
      <c r="W155" s="976">
        <f>'Infra Build BOQ'!AI202</f>
        <v>0</v>
      </c>
      <c r="X155" s="974">
        <f>'Infra Build BOQ'!AJ202</f>
        <v>0</v>
      </c>
      <c r="Y155" s="975">
        <f>'Infra Build BOQ'!AK202</f>
        <v>0</v>
      </c>
      <c r="Z155" s="977">
        <f>'Infra Build BOQ'!AL202</f>
        <v>0</v>
      </c>
    </row>
    <row r="156" spans="2:26" s="296" customFormat="1" ht="27.6" customHeight="1">
      <c r="B156" s="952">
        <f>'Master BOQ Pricing_2018-01-08'!B203</f>
        <v>13.07</v>
      </c>
      <c r="C156" s="953" t="str">
        <f>'Master BOQ Pricing_2018-01-08'!C203</f>
        <v>Install M12 x 220 Pigtail bolt nut and washer with Double Hook and Dead end FDE 616/680 for ADSS 15.6-17.27mm (144 Fibre)</v>
      </c>
      <c r="D156" s="954" t="str">
        <f>'Master BOQ Pricing_2018-01-08'!D203</f>
        <v>ea</v>
      </c>
      <c r="E156" s="955">
        <f>'Master BOQ Pricing_2018-01-08'!E203</f>
        <v>79.069999999999993</v>
      </c>
      <c r="F156" s="956">
        <f>'Infra Build BOQ'!F203</f>
        <v>0</v>
      </c>
      <c r="G156" s="957">
        <f>'Infra Build BOQ'!G203</f>
        <v>0</v>
      </c>
      <c r="H156" s="973">
        <f>'Infra Build BOQ'!T203</f>
        <v>0</v>
      </c>
      <c r="I156" s="974">
        <f>'Infra Build BOQ'!U203</f>
        <v>0</v>
      </c>
      <c r="J156" s="975">
        <f>'Infra Build BOQ'!V203</f>
        <v>0</v>
      </c>
      <c r="K156" s="976">
        <f>'Infra Build BOQ'!W203</f>
        <v>0</v>
      </c>
      <c r="L156" s="973">
        <f>'Infra Build BOQ'!X203</f>
        <v>0</v>
      </c>
      <c r="M156" s="974">
        <f>'Infra Build BOQ'!Y203</f>
        <v>0</v>
      </c>
      <c r="N156" s="975">
        <f>'Infra Build BOQ'!Z203</f>
        <v>0</v>
      </c>
      <c r="O156" s="976">
        <f>'Infra Build BOQ'!AA203</f>
        <v>0</v>
      </c>
      <c r="P156" s="973">
        <f>'Infra Build BOQ'!AB203</f>
        <v>0</v>
      </c>
      <c r="Q156" s="974">
        <f>'Infra Build BOQ'!AC203</f>
        <v>0</v>
      </c>
      <c r="R156" s="975">
        <f>'Infra Build BOQ'!AD203</f>
        <v>0</v>
      </c>
      <c r="S156" s="976">
        <f>'Infra Build BOQ'!AE203</f>
        <v>0</v>
      </c>
      <c r="T156" s="973">
        <f>'Infra Build BOQ'!AF203</f>
        <v>0</v>
      </c>
      <c r="U156" s="974">
        <f>'Infra Build BOQ'!AG203</f>
        <v>0</v>
      </c>
      <c r="V156" s="975">
        <f>'Infra Build BOQ'!AH203</f>
        <v>0</v>
      </c>
      <c r="W156" s="976">
        <f>'Infra Build BOQ'!AI203</f>
        <v>0</v>
      </c>
      <c r="X156" s="974">
        <f>'Infra Build BOQ'!AJ203</f>
        <v>0</v>
      </c>
      <c r="Y156" s="975">
        <f>'Infra Build BOQ'!AK203</f>
        <v>0</v>
      </c>
      <c r="Z156" s="977">
        <f>'Infra Build BOQ'!AL203</f>
        <v>0</v>
      </c>
    </row>
    <row r="157" spans="2:26" s="296" customFormat="1" ht="27.6" customHeight="1">
      <c r="B157" s="952">
        <f>'Master BOQ Pricing_2018-01-08'!B204</f>
        <v>13.08</v>
      </c>
      <c r="C157" s="953" t="str">
        <f>'Master BOQ Pricing_2018-01-08'!C204</f>
        <v>Install M12 x 220 Pigtail bolt nut and washer with Single Hook and Tangent Support FOT 375/414 for ADSS 9.5-10.5mm (4, 8, 12 &amp; 24 Fibre)</v>
      </c>
      <c r="D157" s="954" t="str">
        <f>'Master BOQ Pricing_2018-01-08'!D204</f>
        <v>ea</v>
      </c>
      <c r="E157" s="955">
        <f>'Master BOQ Pricing_2018-01-08'!E204</f>
        <v>45.12</v>
      </c>
      <c r="F157" s="956">
        <f>'Infra Build BOQ'!F204</f>
        <v>0</v>
      </c>
      <c r="G157" s="957">
        <f>'Infra Build BOQ'!G204</f>
        <v>0</v>
      </c>
      <c r="H157" s="973">
        <f>'Infra Build BOQ'!T204</f>
        <v>0</v>
      </c>
      <c r="I157" s="974">
        <f>'Infra Build BOQ'!U204</f>
        <v>0</v>
      </c>
      <c r="J157" s="975">
        <f>'Infra Build BOQ'!V204</f>
        <v>0</v>
      </c>
      <c r="K157" s="976">
        <f>'Infra Build BOQ'!W204</f>
        <v>0</v>
      </c>
      <c r="L157" s="973">
        <f>'Infra Build BOQ'!X204</f>
        <v>0</v>
      </c>
      <c r="M157" s="974">
        <f>'Infra Build BOQ'!Y204</f>
        <v>0</v>
      </c>
      <c r="N157" s="975">
        <f>'Infra Build BOQ'!Z204</f>
        <v>0</v>
      </c>
      <c r="O157" s="976">
        <f>'Infra Build BOQ'!AA204</f>
        <v>0</v>
      </c>
      <c r="P157" s="973">
        <f>'Infra Build BOQ'!AB204</f>
        <v>0</v>
      </c>
      <c r="Q157" s="974">
        <f>'Infra Build BOQ'!AC204</f>
        <v>0</v>
      </c>
      <c r="R157" s="975">
        <f>'Infra Build BOQ'!AD204</f>
        <v>0</v>
      </c>
      <c r="S157" s="976">
        <f>'Infra Build BOQ'!AE204</f>
        <v>0</v>
      </c>
      <c r="T157" s="973">
        <f>'Infra Build BOQ'!AF204</f>
        <v>0</v>
      </c>
      <c r="U157" s="974">
        <f>'Infra Build BOQ'!AG204</f>
        <v>0</v>
      </c>
      <c r="V157" s="975">
        <f>'Infra Build BOQ'!AH204</f>
        <v>0</v>
      </c>
      <c r="W157" s="976">
        <f>'Infra Build BOQ'!AI204</f>
        <v>0</v>
      </c>
      <c r="X157" s="974">
        <f>'Infra Build BOQ'!AJ204</f>
        <v>0</v>
      </c>
      <c r="Y157" s="975">
        <f>'Infra Build BOQ'!AK204</f>
        <v>0</v>
      </c>
      <c r="Z157" s="977">
        <f>'Infra Build BOQ'!AL204</f>
        <v>0</v>
      </c>
    </row>
    <row r="158" spans="2:26" s="296" customFormat="1" ht="27.6" customHeight="1">
      <c r="B158" s="952">
        <f>'Master BOQ Pricing_2018-01-08'!B205</f>
        <v>13.09</v>
      </c>
      <c r="C158" s="953" t="str">
        <f>'Master BOQ Pricing_2018-01-08'!C205</f>
        <v>Install M12 x 220 Pigtail bolt nut and washer with Single Hook and Tangent Support FOT 398/425 for ADSS 10.1-10.8mm (48 Fibre)</v>
      </c>
      <c r="D158" s="954" t="str">
        <f>'Master BOQ Pricing_2018-01-08'!D205</f>
        <v>ea</v>
      </c>
      <c r="E158" s="955">
        <f>'Master BOQ Pricing_2018-01-08'!E205</f>
        <v>55.12</v>
      </c>
      <c r="F158" s="956">
        <f>'Infra Build BOQ'!F205</f>
        <v>0</v>
      </c>
      <c r="G158" s="957">
        <f>'Infra Build BOQ'!G205</f>
        <v>0</v>
      </c>
      <c r="H158" s="973">
        <f>'Infra Build BOQ'!T205</f>
        <v>0</v>
      </c>
      <c r="I158" s="974">
        <f>'Infra Build BOQ'!U205</f>
        <v>0</v>
      </c>
      <c r="J158" s="975">
        <f>'Infra Build BOQ'!V205</f>
        <v>0</v>
      </c>
      <c r="K158" s="976">
        <f>'Infra Build BOQ'!W205</f>
        <v>0</v>
      </c>
      <c r="L158" s="973">
        <f>'Infra Build BOQ'!X205</f>
        <v>0</v>
      </c>
      <c r="M158" s="974">
        <f>'Infra Build BOQ'!Y205</f>
        <v>0</v>
      </c>
      <c r="N158" s="975">
        <f>'Infra Build BOQ'!Z205</f>
        <v>0</v>
      </c>
      <c r="O158" s="976">
        <f>'Infra Build BOQ'!AA205</f>
        <v>0</v>
      </c>
      <c r="P158" s="973">
        <f>'Infra Build BOQ'!AB205</f>
        <v>0</v>
      </c>
      <c r="Q158" s="974">
        <f>'Infra Build BOQ'!AC205</f>
        <v>0</v>
      </c>
      <c r="R158" s="975">
        <f>'Infra Build BOQ'!AD205</f>
        <v>0</v>
      </c>
      <c r="S158" s="976">
        <f>'Infra Build BOQ'!AE205</f>
        <v>0</v>
      </c>
      <c r="T158" s="973">
        <f>'Infra Build BOQ'!AF205</f>
        <v>0</v>
      </c>
      <c r="U158" s="974">
        <f>'Infra Build BOQ'!AG205</f>
        <v>0</v>
      </c>
      <c r="V158" s="975">
        <f>'Infra Build BOQ'!AH205</f>
        <v>0</v>
      </c>
      <c r="W158" s="976">
        <f>'Infra Build BOQ'!AI205</f>
        <v>0</v>
      </c>
      <c r="X158" s="974">
        <f>'Infra Build BOQ'!AJ205</f>
        <v>0</v>
      </c>
      <c r="Y158" s="975">
        <f>'Infra Build BOQ'!AK205</f>
        <v>0</v>
      </c>
      <c r="Z158" s="977">
        <f>'Infra Build BOQ'!AL205</f>
        <v>0</v>
      </c>
    </row>
    <row r="159" spans="2:26" s="296" customFormat="1" ht="27.6" customHeight="1">
      <c r="B159" s="952">
        <f>'Master BOQ Pricing_2018-01-08'!B206</f>
        <v>13.1</v>
      </c>
      <c r="C159" s="953" t="str">
        <f>'Master BOQ Pricing_2018-01-08'!C206</f>
        <v>Install M12 x 220 Pigtail bolt nut and washer with Single Hook and Tangent Support FOT 426/455 for ADSS 10.8-11.5mm (72 Fibre)</v>
      </c>
      <c r="D159" s="954" t="str">
        <f>'Master BOQ Pricing_2018-01-08'!D206</f>
        <v>ea</v>
      </c>
      <c r="E159" s="955">
        <f>'Master BOQ Pricing_2018-01-08'!E206</f>
        <v>65.12</v>
      </c>
      <c r="F159" s="956">
        <f>'Infra Build BOQ'!F206</f>
        <v>0</v>
      </c>
      <c r="G159" s="957">
        <f>'Infra Build BOQ'!G206</f>
        <v>0</v>
      </c>
      <c r="H159" s="973">
        <f>'Infra Build BOQ'!T206</f>
        <v>0</v>
      </c>
      <c r="I159" s="974">
        <f>'Infra Build BOQ'!U206</f>
        <v>0</v>
      </c>
      <c r="J159" s="975">
        <f>'Infra Build BOQ'!V206</f>
        <v>0</v>
      </c>
      <c r="K159" s="976">
        <f>'Infra Build BOQ'!W206</f>
        <v>0</v>
      </c>
      <c r="L159" s="973">
        <f>'Infra Build BOQ'!X206</f>
        <v>0</v>
      </c>
      <c r="M159" s="974">
        <f>'Infra Build BOQ'!Y206</f>
        <v>0</v>
      </c>
      <c r="N159" s="975">
        <f>'Infra Build BOQ'!Z206</f>
        <v>0</v>
      </c>
      <c r="O159" s="976">
        <f>'Infra Build BOQ'!AA206</f>
        <v>0</v>
      </c>
      <c r="P159" s="973">
        <f>'Infra Build BOQ'!AB206</f>
        <v>0</v>
      </c>
      <c r="Q159" s="974">
        <f>'Infra Build BOQ'!AC206</f>
        <v>0</v>
      </c>
      <c r="R159" s="975">
        <f>'Infra Build BOQ'!AD206</f>
        <v>0</v>
      </c>
      <c r="S159" s="976">
        <f>'Infra Build BOQ'!AE206</f>
        <v>0</v>
      </c>
      <c r="T159" s="973">
        <f>'Infra Build BOQ'!AF206</f>
        <v>0</v>
      </c>
      <c r="U159" s="974">
        <f>'Infra Build BOQ'!AG206</f>
        <v>0</v>
      </c>
      <c r="V159" s="975">
        <f>'Infra Build BOQ'!AH206</f>
        <v>0</v>
      </c>
      <c r="W159" s="976">
        <f>'Infra Build BOQ'!AI206</f>
        <v>0</v>
      </c>
      <c r="X159" s="974">
        <f>'Infra Build BOQ'!AJ206</f>
        <v>0</v>
      </c>
      <c r="Y159" s="975">
        <f>'Infra Build BOQ'!AK206</f>
        <v>0</v>
      </c>
      <c r="Z159" s="977">
        <f>'Infra Build BOQ'!AL206</f>
        <v>0</v>
      </c>
    </row>
    <row r="160" spans="2:26" s="296" customFormat="1" ht="27.6" customHeight="1">
      <c r="B160" s="952">
        <f>'Master BOQ Pricing_2018-01-08'!B207</f>
        <v>13.11</v>
      </c>
      <c r="C160" s="953" t="str">
        <f>'Master BOQ Pricing_2018-01-08'!C207</f>
        <v>Install M12 x 220 Pigtail bolt nut and washer with Single Hook and Tangent Support FOT 595/630 for ADSS 15.11-16.0mm (144 Fibre)</v>
      </c>
      <c r="D160" s="954" t="str">
        <f>'Master BOQ Pricing_2018-01-08'!D207</f>
        <v>ea</v>
      </c>
      <c r="E160" s="955">
        <f>'Master BOQ Pricing_2018-01-08'!E207</f>
        <v>75.12</v>
      </c>
      <c r="F160" s="956">
        <f>'Infra Build BOQ'!F207</f>
        <v>0</v>
      </c>
      <c r="G160" s="957">
        <f>'Infra Build BOQ'!G207</f>
        <v>0</v>
      </c>
      <c r="H160" s="973">
        <f>'Infra Build BOQ'!T207</f>
        <v>0</v>
      </c>
      <c r="I160" s="974">
        <f>'Infra Build BOQ'!U207</f>
        <v>0</v>
      </c>
      <c r="J160" s="975">
        <f>'Infra Build BOQ'!V207</f>
        <v>0</v>
      </c>
      <c r="K160" s="976">
        <f>'Infra Build BOQ'!W207</f>
        <v>0</v>
      </c>
      <c r="L160" s="973">
        <f>'Infra Build BOQ'!X207</f>
        <v>0</v>
      </c>
      <c r="M160" s="974">
        <f>'Infra Build BOQ'!Y207</f>
        <v>0</v>
      </c>
      <c r="N160" s="975">
        <f>'Infra Build BOQ'!Z207</f>
        <v>0</v>
      </c>
      <c r="O160" s="976">
        <f>'Infra Build BOQ'!AA207</f>
        <v>0</v>
      </c>
      <c r="P160" s="973">
        <f>'Infra Build BOQ'!AB207</f>
        <v>0</v>
      </c>
      <c r="Q160" s="974">
        <f>'Infra Build BOQ'!AC207</f>
        <v>0</v>
      </c>
      <c r="R160" s="975">
        <f>'Infra Build BOQ'!AD207</f>
        <v>0</v>
      </c>
      <c r="S160" s="976">
        <f>'Infra Build BOQ'!AE207</f>
        <v>0</v>
      </c>
      <c r="T160" s="973">
        <f>'Infra Build BOQ'!AF207</f>
        <v>0</v>
      </c>
      <c r="U160" s="974">
        <f>'Infra Build BOQ'!AG207</f>
        <v>0</v>
      </c>
      <c r="V160" s="975">
        <f>'Infra Build BOQ'!AH207</f>
        <v>0</v>
      </c>
      <c r="W160" s="976">
        <f>'Infra Build BOQ'!AI207</f>
        <v>0</v>
      </c>
      <c r="X160" s="974">
        <f>'Infra Build BOQ'!AJ207</f>
        <v>0</v>
      </c>
      <c r="Y160" s="975">
        <f>'Infra Build BOQ'!AK207</f>
        <v>0</v>
      </c>
      <c r="Z160" s="977">
        <f>'Infra Build BOQ'!AL207</f>
        <v>0</v>
      </c>
    </row>
    <row r="161" spans="2:26" s="296" customFormat="1">
      <c r="B161" s="952">
        <f>'Master BOQ Pricing_2018-01-08'!B208</f>
        <v>13.12</v>
      </c>
      <c r="C161" s="953" t="str">
        <f>'Master BOQ Pricing_2018-01-08'!C208</f>
        <v>Erecting Hauling Tensioning of Fibre Optical Cable on Overhead Cable Route (All Sizes)</v>
      </c>
      <c r="D161" s="954" t="str">
        <f>'Master BOQ Pricing_2018-01-08'!D208</f>
        <v>m</v>
      </c>
      <c r="E161" s="955">
        <f>'Master BOQ Pricing_2018-01-08'!E208</f>
        <v>4.57</v>
      </c>
      <c r="F161" s="956">
        <f>'Infra Build BOQ'!F208</f>
        <v>0</v>
      </c>
      <c r="G161" s="957">
        <f>'Infra Build BOQ'!G208</f>
        <v>0</v>
      </c>
      <c r="H161" s="973">
        <f>'Infra Build BOQ'!T208</f>
        <v>0</v>
      </c>
      <c r="I161" s="974">
        <f>'Infra Build BOQ'!U208</f>
        <v>0</v>
      </c>
      <c r="J161" s="975">
        <f>'Infra Build BOQ'!V208</f>
        <v>0</v>
      </c>
      <c r="K161" s="976">
        <f>'Infra Build BOQ'!W208</f>
        <v>0</v>
      </c>
      <c r="L161" s="973">
        <f>'Infra Build BOQ'!X208</f>
        <v>0</v>
      </c>
      <c r="M161" s="974">
        <f>'Infra Build BOQ'!Y208</f>
        <v>0</v>
      </c>
      <c r="N161" s="975">
        <f>'Infra Build BOQ'!Z208</f>
        <v>0</v>
      </c>
      <c r="O161" s="976">
        <f>'Infra Build BOQ'!AA208</f>
        <v>0</v>
      </c>
      <c r="P161" s="973">
        <f>'Infra Build BOQ'!AB208</f>
        <v>0</v>
      </c>
      <c r="Q161" s="974">
        <f>'Infra Build BOQ'!AC208</f>
        <v>0</v>
      </c>
      <c r="R161" s="975">
        <f>'Infra Build BOQ'!AD208</f>
        <v>0</v>
      </c>
      <c r="S161" s="976">
        <f>'Infra Build BOQ'!AE208</f>
        <v>0</v>
      </c>
      <c r="T161" s="973">
        <f>'Infra Build BOQ'!AF208</f>
        <v>0</v>
      </c>
      <c r="U161" s="974">
        <f>'Infra Build BOQ'!AG208</f>
        <v>0</v>
      </c>
      <c r="V161" s="975">
        <f>'Infra Build BOQ'!AH208</f>
        <v>0</v>
      </c>
      <c r="W161" s="976">
        <f>'Infra Build BOQ'!AI208</f>
        <v>0</v>
      </c>
      <c r="X161" s="974">
        <f>'Infra Build BOQ'!AJ208</f>
        <v>0</v>
      </c>
      <c r="Y161" s="975">
        <f>'Infra Build BOQ'!AK208</f>
        <v>0</v>
      </c>
      <c r="Z161" s="977">
        <f>'Infra Build BOQ'!AL208</f>
        <v>0</v>
      </c>
    </row>
    <row r="162" spans="2:26" s="296" customFormat="1">
      <c r="B162" s="952">
        <f>'Master BOQ Pricing_2018-01-08'!B209</f>
        <v>13.13</v>
      </c>
      <c r="C162" s="953" t="str">
        <f>'Master BOQ Pricing_2018-01-08'!C209</f>
        <v xml:space="preserve">Concreting of Poles or Strut </v>
      </c>
      <c r="D162" s="954" t="str">
        <f>'Master BOQ Pricing_2018-01-08'!D209</f>
        <v>ea</v>
      </c>
      <c r="E162" s="955">
        <f>'Master BOQ Pricing_2018-01-08'!E209</f>
        <v>228</v>
      </c>
      <c r="F162" s="956">
        <f>'Infra Build BOQ'!F209</f>
        <v>0</v>
      </c>
      <c r="G162" s="957">
        <f>'Infra Build BOQ'!G209</f>
        <v>0</v>
      </c>
      <c r="H162" s="973">
        <f>'Infra Build BOQ'!T209</f>
        <v>0</v>
      </c>
      <c r="I162" s="974">
        <f>'Infra Build BOQ'!U209</f>
        <v>0</v>
      </c>
      <c r="J162" s="975">
        <f>'Infra Build BOQ'!V209</f>
        <v>0</v>
      </c>
      <c r="K162" s="976">
        <f>'Infra Build BOQ'!W209</f>
        <v>0</v>
      </c>
      <c r="L162" s="973">
        <f>'Infra Build BOQ'!X209</f>
        <v>0</v>
      </c>
      <c r="M162" s="974">
        <f>'Infra Build BOQ'!Y209</f>
        <v>0</v>
      </c>
      <c r="N162" s="975">
        <f>'Infra Build BOQ'!Z209</f>
        <v>0</v>
      </c>
      <c r="O162" s="976">
        <f>'Infra Build BOQ'!AA209</f>
        <v>0</v>
      </c>
      <c r="P162" s="973">
        <f>'Infra Build BOQ'!AB209</f>
        <v>0</v>
      </c>
      <c r="Q162" s="974">
        <f>'Infra Build BOQ'!AC209</f>
        <v>0</v>
      </c>
      <c r="R162" s="975">
        <f>'Infra Build BOQ'!AD209</f>
        <v>0</v>
      </c>
      <c r="S162" s="976">
        <f>'Infra Build BOQ'!AE209</f>
        <v>0</v>
      </c>
      <c r="T162" s="973">
        <f>'Infra Build BOQ'!AF209</f>
        <v>0</v>
      </c>
      <c r="U162" s="974">
        <f>'Infra Build BOQ'!AG209</f>
        <v>0</v>
      </c>
      <c r="V162" s="975">
        <f>'Infra Build BOQ'!AH209</f>
        <v>0</v>
      </c>
      <c r="W162" s="976">
        <f>'Infra Build BOQ'!AI209</f>
        <v>0</v>
      </c>
      <c r="X162" s="974">
        <f>'Infra Build BOQ'!AJ209</f>
        <v>0</v>
      </c>
      <c r="Y162" s="975">
        <f>'Infra Build BOQ'!AK209</f>
        <v>0</v>
      </c>
      <c r="Z162" s="977">
        <f>'Infra Build BOQ'!AL209</f>
        <v>0</v>
      </c>
    </row>
    <row r="163" spans="2:26" s="296" customFormat="1">
      <c r="B163" s="952">
        <f>'Master BOQ Pricing_2018-01-08'!B210</f>
        <v>13.14</v>
      </c>
      <c r="C163" s="953" t="str">
        <f>'Master BOQ Pricing_2018-01-08'!C210</f>
        <v>Concreting of All size Stays</v>
      </c>
      <c r="D163" s="954" t="str">
        <f>'Master BOQ Pricing_2018-01-08'!D210</f>
        <v>ea</v>
      </c>
      <c r="E163" s="955">
        <f>'Master BOQ Pricing_2018-01-08'!E210</f>
        <v>258</v>
      </c>
      <c r="F163" s="956">
        <f>'Infra Build BOQ'!F210</f>
        <v>0</v>
      </c>
      <c r="G163" s="957">
        <f>'Infra Build BOQ'!G210</f>
        <v>0</v>
      </c>
      <c r="H163" s="973">
        <f>'Infra Build BOQ'!T210</f>
        <v>0</v>
      </c>
      <c r="I163" s="974">
        <f>'Infra Build BOQ'!U210</f>
        <v>0</v>
      </c>
      <c r="J163" s="975">
        <f>'Infra Build BOQ'!V210</f>
        <v>0</v>
      </c>
      <c r="K163" s="976">
        <f>'Infra Build BOQ'!W210</f>
        <v>0</v>
      </c>
      <c r="L163" s="973">
        <f>'Infra Build BOQ'!X210</f>
        <v>0</v>
      </c>
      <c r="M163" s="974">
        <f>'Infra Build BOQ'!Y210</f>
        <v>0</v>
      </c>
      <c r="N163" s="975">
        <f>'Infra Build BOQ'!Z210</f>
        <v>0</v>
      </c>
      <c r="O163" s="976">
        <f>'Infra Build BOQ'!AA210</f>
        <v>0</v>
      </c>
      <c r="P163" s="973">
        <f>'Infra Build BOQ'!AB210</f>
        <v>0</v>
      </c>
      <c r="Q163" s="974">
        <f>'Infra Build BOQ'!AC210</f>
        <v>0</v>
      </c>
      <c r="R163" s="975">
        <f>'Infra Build BOQ'!AD210</f>
        <v>0</v>
      </c>
      <c r="S163" s="976">
        <f>'Infra Build BOQ'!AE210</f>
        <v>0</v>
      </c>
      <c r="T163" s="973">
        <f>'Infra Build BOQ'!AF210</f>
        <v>0</v>
      </c>
      <c r="U163" s="974">
        <f>'Infra Build BOQ'!AG210</f>
        <v>0</v>
      </c>
      <c r="V163" s="975">
        <f>'Infra Build BOQ'!AH210</f>
        <v>0</v>
      </c>
      <c r="W163" s="976">
        <f>'Infra Build BOQ'!AI210</f>
        <v>0</v>
      </c>
      <c r="X163" s="974">
        <f>'Infra Build BOQ'!AJ210</f>
        <v>0</v>
      </c>
      <c r="Y163" s="975">
        <f>'Infra Build BOQ'!AK210</f>
        <v>0</v>
      </c>
      <c r="Z163" s="977">
        <f>'Infra Build BOQ'!AL210</f>
        <v>0</v>
      </c>
    </row>
    <row r="164" spans="2:26" s="296" customFormat="1">
      <c r="B164" s="952">
        <f>'Master BOQ Pricing_2018-01-08'!B211</f>
        <v>13.15</v>
      </c>
      <c r="C164" s="953" t="str">
        <f>'Master BOQ Pricing_2018-01-08'!C211</f>
        <v>Install Pole Mounted Optic Fibre Slack Box</v>
      </c>
      <c r="D164" s="954" t="str">
        <f>'Master BOQ Pricing_2018-01-08'!D211</f>
        <v>ea</v>
      </c>
      <c r="E164" s="955">
        <f>'Master BOQ Pricing_2018-01-08'!E211</f>
        <v>90</v>
      </c>
      <c r="F164" s="956">
        <f>'Infra Build BOQ'!F211</f>
        <v>0</v>
      </c>
      <c r="G164" s="957">
        <f>'Infra Build BOQ'!G211</f>
        <v>0</v>
      </c>
      <c r="H164" s="973">
        <f>'Infra Build BOQ'!T211</f>
        <v>0</v>
      </c>
      <c r="I164" s="974">
        <f>'Infra Build BOQ'!U211</f>
        <v>0</v>
      </c>
      <c r="J164" s="975">
        <f>'Infra Build BOQ'!V211</f>
        <v>0</v>
      </c>
      <c r="K164" s="976">
        <f>'Infra Build BOQ'!W211</f>
        <v>0</v>
      </c>
      <c r="L164" s="973">
        <f>'Infra Build BOQ'!X211</f>
        <v>0</v>
      </c>
      <c r="M164" s="974">
        <f>'Infra Build BOQ'!Y211</f>
        <v>0</v>
      </c>
      <c r="N164" s="975">
        <f>'Infra Build BOQ'!Z211</f>
        <v>0</v>
      </c>
      <c r="O164" s="976">
        <f>'Infra Build BOQ'!AA211</f>
        <v>0</v>
      </c>
      <c r="P164" s="973">
        <f>'Infra Build BOQ'!AB211</f>
        <v>0</v>
      </c>
      <c r="Q164" s="974">
        <f>'Infra Build BOQ'!AC211</f>
        <v>0</v>
      </c>
      <c r="R164" s="975">
        <f>'Infra Build BOQ'!AD211</f>
        <v>0</v>
      </c>
      <c r="S164" s="976">
        <f>'Infra Build BOQ'!AE211</f>
        <v>0</v>
      </c>
      <c r="T164" s="973">
        <f>'Infra Build BOQ'!AF211</f>
        <v>0</v>
      </c>
      <c r="U164" s="974">
        <f>'Infra Build BOQ'!AG211</f>
        <v>0</v>
      </c>
      <c r="V164" s="975">
        <f>'Infra Build BOQ'!AH211</f>
        <v>0</v>
      </c>
      <c r="W164" s="976">
        <f>'Infra Build BOQ'!AI211</f>
        <v>0</v>
      </c>
      <c r="X164" s="974">
        <f>'Infra Build BOQ'!AJ211</f>
        <v>0</v>
      </c>
      <c r="Y164" s="975">
        <f>'Infra Build BOQ'!AK211</f>
        <v>0</v>
      </c>
      <c r="Z164" s="977">
        <f>'Infra Build BOQ'!AL211</f>
        <v>0</v>
      </c>
    </row>
    <row r="165" spans="2:26" s="296" customFormat="1">
      <c r="B165" s="952">
        <f>'Master BOQ Pricing_2018-01-08'!B212</f>
        <v>13.16</v>
      </c>
      <c r="C165" s="992">
        <f>'Master BOQ Pricing_2018-01-08'!C212</f>
        <v>0</v>
      </c>
      <c r="D165" s="954">
        <f>'Master BOQ Pricing_2018-01-08'!D212</f>
        <v>0</v>
      </c>
      <c r="E165" s="955">
        <f>'Master BOQ Pricing_2018-01-08'!E212</f>
        <v>0</v>
      </c>
      <c r="F165" s="956">
        <f>'Infra Build BOQ'!F212</f>
        <v>0</v>
      </c>
      <c r="G165" s="957">
        <f>'Infra Build BOQ'!G212</f>
        <v>0</v>
      </c>
      <c r="H165" s="973">
        <f>'Infra Build BOQ'!T212</f>
        <v>0</v>
      </c>
      <c r="I165" s="974">
        <f>'Infra Build BOQ'!U212</f>
        <v>0</v>
      </c>
      <c r="J165" s="975">
        <f>'Infra Build BOQ'!V212</f>
        <v>0</v>
      </c>
      <c r="K165" s="976">
        <f>'Infra Build BOQ'!W212</f>
        <v>0</v>
      </c>
      <c r="L165" s="973">
        <f>'Infra Build BOQ'!X212</f>
        <v>0</v>
      </c>
      <c r="M165" s="974">
        <f>'Infra Build BOQ'!Y212</f>
        <v>0</v>
      </c>
      <c r="N165" s="975">
        <f>'Infra Build BOQ'!Z212</f>
        <v>0</v>
      </c>
      <c r="O165" s="976">
        <f>'Infra Build BOQ'!AA212</f>
        <v>0</v>
      </c>
      <c r="P165" s="973">
        <f>'Infra Build BOQ'!AB212</f>
        <v>0</v>
      </c>
      <c r="Q165" s="974">
        <f>'Infra Build BOQ'!AC212</f>
        <v>0</v>
      </c>
      <c r="R165" s="975">
        <f>'Infra Build BOQ'!AD212</f>
        <v>0</v>
      </c>
      <c r="S165" s="976">
        <f>'Infra Build BOQ'!AE212</f>
        <v>0</v>
      </c>
      <c r="T165" s="973">
        <f>'Infra Build BOQ'!AF212</f>
        <v>0</v>
      </c>
      <c r="U165" s="974">
        <f>'Infra Build BOQ'!AG212</f>
        <v>0</v>
      </c>
      <c r="V165" s="975">
        <f>'Infra Build BOQ'!AH212</f>
        <v>0</v>
      </c>
      <c r="W165" s="976">
        <f>'Infra Build BOQ'!AI212</f>
        <v>0</v>
      </c>
      <c r="X165" s="974">
        <f>'Infra Build BOQ'!AJ212</f>
        <v>0</v>
      </c>
      <c r="Y165" s="975">
        <f>'Infra Build BOQ'!AK212</f>
        <v>0</v>
      </c>
      <c r="Z165" s="977">
        <f>'Infra Build BOQ'!AL212</f>
        <v>0</v>
      </c>
    </row>
    <row r="166" spans="2:26" s="296" customFormat="1">
      <c r="B166" s="963">
        <f>'Master BOQ Pricing_2018-01-08'!B213</f>
        <v>14</v>
      </c>
      <c r="C166" s="964" t="str">
        <f>'Master BOQ Pricing_2018-01-08'!C213</f>
        <v>FTTH FULL TURNKEY PRICING</v>
      </c>
      <c r="D166" s="965"/>
      <c r="E166" s="966"/>
      <c r="F166" s="978"/>
      <c r="G166" s="979"/>
      <c r="H166" s="980"/>
      <c r="I166" s="981"/>
      <c r="J166" s="982"/>
      <c r="K166" s="983"/>
      <c r="L166" s="980"/>
      <c r="M166" s="981"/>
      <c r="N166" s="982"/>
      <c r="O166" s="983"/>
      <c r="P166" s="980"/>
      <c r="Q166" s="981"/>
      <c r="R166" s="982"/>
      <c r="S166" s="983"/>
      <c r="T166" s="980"/>
      <c r="U166" s="981"/>
      <c r="V166" s="982"/>
      <c r="W166" s="983"/>
      <c r="X166" s="981"/>
      <c r="Y166" s="982"/>
      <c r="Z166" s="984"/>
    </row>
    <row r="167" spans="2:26" s="296" customFormat="1" ht="28.05" customHeight="1">
      <c r="B167" s="952">
        <f>'Master BOQ Pricing_2018-01-08'!B214</f>
        <v>14.01</v>
      </c>
      <c r="C167" s="953" t="str">
        <f>'Master BOQ Pricing_2018-01-08'!C214</f>
        <v>Price1A:  R 3100.00 per Demand Point – payable for a NAP/Drop Point - one side of the road was trenched and road crossings were used to connect the units across the road (Non-gated SDU)</v>
      </c>
      <c r="D167" s="954" t="str">
        <f>'Master BOQ Pricing_2018-01-08'!D214</f>
        <v>ea</v>
      </c>
      <c r="E167" s="955">
        <f>'Master BOQ Pricing_2018-01-08'!E214</f>
        <v>3100</v>
      </c>
      <c r="F167" s="956">
        <f>'Infra Build BOQ'!F214</f>
        <v>0</v>
      </c>
      <c r="G167" s="957">
        <f>'Infra Build BOQ'!G214</f>
        <v>0</v>
      </c>
      <c r="H167" s="973">
        <f>'Infra Build BOQ'!T214</f>
        <v>0</v>
      </c>
      <c r="I167" s="974">
        <f>'Infra Build BOQ'!U214</f>
        <v>0</v>
      </c>
      <c r="J167" s="975">
        <f>'Infra Build BOQ'!V214</f>
        <v>0</v>
      </c>
      <c r="K167" s="976">
        <f>'Infra Build BOQ'!W214</f>
        <v>0</v>
      </c>
      <c r="L167" s="973">
        <f>'Infra Build BOQ'!X214</f>
        <v>0</v>
      </c>
      <c r="M167" s="974">
        <f>'Infra Build BOQ'!Y214</f>
        <v>0</v>
      </c>
      <c r="N167" s="975">
        <f>'Infra Build BOQ'!Z214</f>
        <v>0</v>
      </c>
      <c r="O167" s="976">
        <f>'Infra Build BOQ'!AA214</f>
        <v>0</v>
      </c>
      <c r="P167" s="973">
        <f>'Infra Build BOQ'!AB214</f>
        <v>0</v>
      </c>
      <c r="Q167" s="974">
        <f>'Infra Build BOQ'!AC214</f>
        <v>0</v>
      </c>
      <c r="R167" s="975">
        <f>'Infra Build BOQ'!AD214</f>
        <v>0</v>
      </c>
      <c r="S167" s="976">
        <f>'Infra Build BOQ'!AE214</f>
        <v>0</v>
      </c>
      <c r="T167" s="973">
        <f>'Infra Build BOQ'!AF214</f>
        <v>0</v>
      </c>
      <c r="U167" s="974">
        <f>'Infra Build BOQ'!AG214</f>
        <v>0</v>
      </c>
      <c r="V167" s="975">
        <f>'Infra Build BOQ'!AH214</f>
        <v>0</v>
      </c>
      <c r="W167" s="976">
        <f>'Infra Build BOQ'!AI214</f>
        <v>0</v>
      </c>
      <c r="X167" s="974">
        <f>'Infra Build BOQ'!AJ214</f>
        <v>0</v>
      </c>
      <c r="Y167" s="975">
        <f>'Infra Build BOQ'!AK214</f>
        <v>0</v>
      </c>
      <c r="Z167" s="977">
        <f>'Infra Build BOQ'!AL214</f>
        <v>0</v>
      </c>
    </row>
    <row r="168" spans="2:26" s="296" customFormat="1" ht="28.05" customHeight="1">
      <c r="B168" s="952">
        <f>'Master BOQ Pricing_2018-01-08'!B215</f>
        <v>14.02</v>
      </c>
      <c r="C168" s="953" t="str">
        <f>'Master BOQ Pricing_2018-01-08'!C215</f>
        <v>Price1B:  R 3100.00 per Demand Point – payable for a NAP/Drop Point - both sides of the road was trenched to connect the units on both sides of the road (Non-gated SDU)</v>
      </c>
      <c r="D168" s="954" t="str">
        <f>'Master BOQ Pricing_2018-01-08'!D215</f>
        <v>ea</v>
      </c>
      <c r="E168" s="955">
        <f>'Master BOQ Pricing_2018-01-08'!E215</f>
        <v>3100</v>
      </c>
      <c r="F168" s="956">
        <f>'Infra Build BOQ'!F215</f>
        <v>0</v>
      </c>
      <c r="G168" s="957">
        <f>'Infra Build BOQ'!G215</f>
        <v>0</v>
      </c>
      <c r="H168" s="973">
        <f>'Infra Build BOQ'!T215</f>
        <v>0</v>
      </c>
      <c r="I168" s="974">
        <f>'Infra Build BOQ'!U215</f>
        <v>0</v>
      </c>
      <c r="J168" s="975">
        <f>'Infra Build BOQ'!V215</f>
        <v>0</v>
      </c>
      <c r="K168" s="976">
        <f>'Infra Build BOQ'!W215</f>
        <v>0</v>
      </c>
      <c r="L168" s="973">
        <f>'Infra Build BOQ'!X215</f>
        <v>0</v>
      </c>
      <c r="M168" s="974">
        <f>'Infra Build BOQ'!Y215</f>
        <v>0</v>
      </c>
      <c r="N168" s="975">
        <f>'Infra Build BOQ'!Z215</f>
        <v>0</v>
      </c>
      <c r="O168" s="976">
        <f>'Infra Build BOQ'!AA215</f>
        <v>0</v>
      </c>
      <c r="P168" s="973">
        <f>'Infra Build BOQ'!AB215</f>
        <v>0</v>
      </c>
      <c r="Q168" s="974">
        <f>'Infra Build BOQ'!AC215</f>
        <v>0</v>
      </c>
      <c r="R168" s="975">
        <f>'Infra Build BOQ'!AD215</f>
        <v>0</v>
      </c>
      <c r="S168" s="976">
        <f>'Infra Build BOQ'!AE215</f>
        <v>0</v>
      </c>
      <c r="T168" s="973">
        <f>'Infra Build BOQ'!AF215</f>
        <v>0</v>
      </c>
      <c r="U168" s="974">
        <f>'Infra Build BOQ'!AG215</f>
        <v>0</v>
      </c>
      <c r="V168" s="975">
        <f>'Infra Build BOQ'!AH215</f>
        <v>0</v>
      </c>
      <c r="W168" s="976">
        <f>'Infra Build BOQ'!AI215</f>
        <v>0</v>
      </c>
      <c r="X168" s="974">
        <f>'Infra Build BOQ'!AJ215</f>
        <v>0</v>
      </c>
      <c r="Y168" s="975">
        <f>'Infra Build BOQ'!AK215</f>
        <v>0</v>
      </c>
      <c r="Z168" s="977">
        <f>'Infra Build BOQ'!AL215</f>
        <v>0</v>
      </c>
    </row>
    <row r="169" spans="2:26" s="296" customFormat="1" ht="27.6" customHeight="1">
      <c r="B169" s="952">
        <f>'Master BOQ Pricing_2018-01-08'!B216</f>
        <v>14.03</v>
      </c>
      <c r="C169" s="953" t="str">
        <f>'Master BOQ Pricing_2018-01-08'!C216</f>
        <v>Price2:  R 3100.00 per Demand Point – payable for a NAP/Drop Point (Manhole outside the Gated SDU and MDU Property)</v>
      </c>
      <c r="D169" s="954" t="str">
        <f>'Master BOQ Pricing_2018-01-08'!D216</f>
        <v>ea</v>
      </c>
      <c r="E169" s="955">
        <f>'Master BOQ Pricing_2018-01-08'!E216</f>
        <v>3100</v>
      </c>
      <c r="F169" s="956">
        <f>'Infra Build BOQ'!F216</f>
        <v>0</v>
      </c>
      <c r="G169" s="957">
        <f>'Infra Build BOQ'!G216</f>
        <v>0</v>
      </c>
      <c r="H169" s="973">
        <f>'Infra Build BOQ'!T216</f>
        <v>0</v>
      </c>
      <c r="I169" s="974">
        <f>'Infra Build BOQ'!U216</f>
        <v>0</v>
      </c>
      <c r="J169" s="975">
        <f>'Infra Build BOQ'!V216</f>
        <v>0</v>
      </c>
      <c r="K169" s="976">
        <f>'Infra Build BOQ'!W216</f>
        <v>0</v>
      </c>
      <c r="L169" s="973">
        <f>'Infra Build BOQ'!X216</f>
        <v>0</v>
      </c>
      <c r="M169" s="974">
        <f>'Infra Build BOQ'!Y216</f>
        <v>0</v>
      </c>
      <c r="N169" s="975">
        <f>'Infra Build BOQ'!Z216</f>
        <v>0</v>
      </c>
      <c r="O169" s="976">
        <f>'Infra Build BOQ'!AA216</f>
        <v>0</v>
      </c>
      <c r="P169" s="973">
        <f>'Infra Build BOQ'!AB216</f>
        <v>0</v>
      </c>
      <c r="Q169" s="974">
        <f>'Infra Build BOQ'!AC216</f>
        <v>0</v>
      </c>
      <c r="R169" s="975">
        <f>'Infra Build BOQ'!AD216</f>
        <v>0</v>
      </c>
      <c r="S169" s="976">
        <f>'Infra Build BOQ'!AE216</f>
        <v>0</v>
      </c>
      <c r="T169" s="973">
        <f>'Infra Build BOQ'!AF216</f>
        <v>0</v>
      </c>
      <c r="U169" s="974">
        <f>'Infra Build BOQ'!AG216</f>
        <v>0</v>
      </c>
      <c r="V169" s="975">
        <f>'Infra Build BOQ'!AH216</f>
        <v>0</v>
      </c>
      <c r="W169" s="976">
        <f>'Infra Build BOQ'!AI216</f>
        <v>0</v>
      </c>
      <c r="X169" s="974">
        <f>'Infra Build BOQ'!AJ216</f>
        <v>0</v>
      </c>
      <c r="Y169" s="975">
        <f>'Infra Build BOQ'!AK216</f>
        <v>0</v>
      </c>
      <c r="Z169" s="977">
        <f>'Infra Build BOQ'!AL216</f>
        <v>0</v>
      </c>
    </row>
    <row r="170" spans="2:26" s="296" customFormat="1">
      <c r="B170" s="952">
        <f>'Master BOQ Pricing_2018-01-08'!B217</f>
        <v>14.04</v>
      </c>
      <c r="C170" s="953" t="str">
        <f>'Master BOQ Pricing_2018-01-08'!C217</f>
        <v>Price3:  R 3100.00 – payable for a NAP/Drop Point outside a business property</v>
      </c>
      <c r="D170" s="954" t="str">
        <f>'Master BOQ Pricing_2018-01-08'!D217</f>
        <v>ea</v>
      </c>
      <c r="E170" s="955">
        <f>'Master BOQ Pricing_2018-01-08'!E217</f>
        <v>3100</v>
      </c>
      <c r="F170" s="956">
        <f>'Infra Build BOQ'!F217</f>
        <v>0</v>
      </c>
      <c r="G170" s="957">
        <f>'Infra Build BOQ'!G217</f>
        <v>0</v>
      </c>
      <c r="H170" s="973">
        <f>'Infra Build BOQ'!T217</f>
        <v>0</v>
      </c>
      <c r="I170" s="974">
        <f>'Infra Build BOQ'!U217</f>
        <v>0</v>
      </c>
      <c r="J170" s="975">
        <f>'Infra Build BOQ'!V217</f>
        <v>0</v>
      </c>
      <c r="K170" s="976">
        <f>'Infra Build BOQ'!W217</f>
        <v>0</v>
      </c>
      <c r="L170" s="973">
        <f>'Infra Build BOQ'!X217</f>
        <v>0</v>
      </c>
      <c r="M170" s="974">
        <f>'Infra Build BOQ'!Y217</f>
        <v>0</v>
      </c>
      <c r="N170" s="975">
        <f>'Infra Build BOQ'!Z217</f>
        <v>0</v>
      </c>
      <c r="O170" s="976">
        <f>'Infra Build BOQ'!AA217</f>
        <v>0</v>
      </c>
      <c r="P170" s="973">
        <f>'Infra Build BOQ'!AB217</f>
        <v>0</v>
      </c>
      <c r="Q170" s="974">
        <f>'Infra Build BOQ'!AC217</f>
        <v>0</v>
      </c>
      <c r="R170" s="975">
        <f>'Infra Build BOQ'!AD217</f>
        <v>0</v>
      </c>
      <c r="S170" s="976">
        <f>'Infra Build BOQ'!AE217</f>
        <v>0</v>
      </c>
      <c r="T170" s="973">
        <f>'Infra Build BOQ'!AF217</f>
        <v>0</v>
      </c>
      <c r="U170" s="974">
        <f>'Infra Build BOQ'!AG217</f>
        <v>0</v>
      </c>
      <c r="V170" s="975">
        <f>'Infra Build BOQ'!AH217</f>
        <v>0</v>
      </c>
      <c r="W170" s="976">
        <f>'Infra Build BOQ'!AI217</f>
        <v>0</v>
      </c>
      <c r="X170" s="974">
        <f>'Infra Build BOQ'!AJ217</f>
        <v>0</v>
      </c>
      <c r="Y170" s="975">
        <f>'Infra Build BOQ'!AK217</f>
        <v>0</v>
      </c>
      <c r="Z170" s="977">
        <f>'Infra Build BOQ'!AL217</f>
        <v>0</v>
      </c>
    </row>
    <row r="171" spans="2:26" s="296" customFormat="1" ht="28.05" customHeight="1">
      <c r="B171" s="952">
        <f>'Master BOQ Pricing_2018-01-08'!B218</f>
        <v>14.05</v>
      </c>
      <c r="C171" s="953" t="str">
        <f>'Master BOQ Pricing_2018-01-08'!C218</f>
        <v>Price9A: R 2650.00 per Demand Point – payable for a NAP/Drop Point - one side of the road was trenched and road crossings were used to connect the units across the road (Non-gated SDU) Civil and Duct works only</v>
      </c>
      <c r="D171" s="954" t="str">
        <f>'Master BOQ Pricing_2018-01-08'!D218</f>
        <v>ea</v>
      </c>
      <c r="E171" s="955">
        <f>'Master BOQ Pricing_2018-01-08'!E218</f>
        <v>2650</v>
      </c>
      <c r="F171" s="956">
        <f>'Infra Build BOQ'!F218</f>
        <v>0</v>
      </c>
      <c r="G171" s="957">
        <f>'Infra Build BOQ'!G218</f>
        <v>0</v>
      </c>
      <c r="H171" s="973">
        <f>'Infra Build BOQ'!T218</f>
        <v>0</v>
      </c>
      <c r="I171" s="974">
        <f>'Infra Build BOQ'!U218</f>
        <v>0</v>
      </c>
      <c r="J171" s="975">
        <f>'Infra Build BOQ'!V218</f>
        <v>0</v>
      </c>
      <c r="K171" s="976">
        <f>'Infra Build BOQ'!W218</f>
        <v>0</v>
      </c>
      <c r="L171" s="973">
        <f>'Infra Build BOQ'!X218</f>
        <v>0</v>
      </c>
      <c r="M171" s="974">
        <f>'Infra Build BOQ'!Y218</f>
        <v>0</v>
      </c>
      <c r="N171" s="975">
        <f>'Infra Build BOQ'!Z218</f>
        <v>0</v>
      </c>
      <c r="O171" s="976">
        <f>'Infra Build BOQ'!AA218</f>
        <v>0</v>
      </c>
      <c r="P171" s="973">
        <f>'Infra Build BOQ'!AB218</f>
        <v>0</v>
      </c>
      <c r="Q171" s="974">
        <f>'Infra Build BOQ'!AC218</f>
        <v>0</v>
      </c>
      <c r="R171" s="975">
        <f>'Infra Build BOQ'!AD218</f>
        <v>0</v>
      </c>
      <c r="S171" s="976">
        <f>'Infra Build BOQ'!AE218</f>
        <v>0</v>
      </c>
      <c r="T171" s="973">
        <f>'Infra Build BOQ'!AF218</f>
        <v>0</v>
      </c>
      <c r="U171" s="974">
        <f>'Infra Build BOQ'!AG218</f>
        <v>0</v>
      </c>
      <c r="V171" s="975">
        <f>'Infra Build BOQ'!AH218</f>
        <v>0</v>
      </c>
      <c r="W171" s="976">
        <f>'Infra Build BOQ'!AI218</f>
        <v>0</v>
      </c>
      <c r="X171" s="974">
        <f>'Infra Build BOQ'!AJ218</f>
        <v>0</v>
      </c>
      <c r="Y171" s="975">
        <f>'Infra Build BOQ'!AK218</f>
        <v>0</v>
      </c>
      <c r="Z171" s="977">
        <f>'Infra Build BOQ'!AL218</f>
        <v>0</v>
      </c>
    </row>
    <row r="172" spans="2:26" s="296" customFormat="1" ht="28.05" customHeight="1">
      <c r="B172" s="952">
        <f>'Master BOQ Pricing_2018-01-08'!B219</f>
        <v>14.06</v>
      </c>
      <c r="C172" s="953" t="str">
        <f>'Master BOQ Pricing_2018-01-08'!C219</f>
        <v>Price9B:  R 2650.00 per Demand Point – payable for a NAP/Drop Point - both sides of the road was trenched to connect the units on both sides of the road (Non-gated SDU) Civil and Duct works only</v>
      </c>
      <c r="D172" s="954" t="str">
        <f>'Master BOQ Pricing_2018-01-08'!D219</f>
        <v>ea</v>
      </c>
      <c r="E172" s="955">
        <f>'Master BOQ Pricing_2018-01-08'!E219</f>
        <v>2650</v>
      </c>
      <c r="F172" s="956">
        <f>'Infra Build BOQ'!F219</f>
        <v>0</v>
      </c>
      <c r="G172" s="957">
        <f>'Infra Build BOQ'!G219</f>
        <v>0</v>
      </c>
      <c r="H172" s="973">
        <f>'Infra Build BOQ'!T219</f>
        <v>0</v>
      </c>
      <c r="I172" s="974">
        <f>'Infra Build BOQ'!U219</f>
        <v>0</v>
      </c>
      <c r="J172" s="975">
        <f>'Infra Build BOQ'!V219</f>
        <v>0</v>
      </c>
      <c r="K172" s="976">
        <f>'Infra Build BOQ'!W219</f>
        <v>0</v>
      </c>
      <c r="L172" s="973">
        <f>'Infra Build BOQ'!X219</f>
        <v>0</v>
      </c>
      <c r="M172" s="974">
        <f>'Infra Build BOQ'!Y219</f>
        <v>0</v>
      </c>
      <c r="N172" s="975">
        <f>'Infra Build BOQ'!Z219</f>
        <v>0</v>
      </c>
      <c r="O172" s="976">
        <f>'Infra Build BOQ'!AA219</f>
        <v>0</v>
      </c>
      <c r="P172" s="973">
        <f>'Infra Build BOQ'!AB219</f>
        <v>0</v>
      </c>
      <c r="Q172" s="974">
        <f>'Infra Build BOQ'!AC219</f>
        <v>0</v>
      </c>
      <c r="R172" s="975">
        <f>'Infra Build BOQ'!AD219</f>
        <v>0</v>
      </c>
      <c r="S172" s="976">
        <f>'Infra Build BOQ'!AE219</f>
        <v>0</v>
      </c>
      <c r="T172" s="973">
        <f>'Infra Build BOQ'!AF219</f>
        <v>0</v>
      </c>
      <c r="U172" s="974">
        <f>'Infra Build BOQ'!AG219</f>
        <v>0</v>
      </c>
      <c r="V172" s="975">
        <f>'Infra Build BOQ'!AH219</f>
        <v>0</v>
      </c>
      <c r="W172" s="976">
        <f>'Infra Build BOQ'!AI219</f>
        <v>0</v>
      </c>
      <c r="X172" s="974">
        <f>'Infra Build BOQ'!AJ219</f>
        <v>0</v>
      </c>
      <c r="Y172" s="975">
        <f>'Infra Build BOQ'!AK219</f>
        <v>0</v>
      </c>
      <c r="Z172" s="977">
        <f>'Infra Build BOQ'!AL219</f>
        <v>0</v>
      </c>
    </row>
    <row r="173" spans="2:26" s="296" customFormat="1" ht="28.05" customHeight="1">
      <c r="B173" s="952">
        <f>'Master BOQ Pricing_2018-01-08'!B220</f>
        <v>14.07</v>
      </c>
      <c r="C173" s="953" t="str">
        <f>'Master BOQ Pricing_2018-01-08'!C220</f>
        <v>Price10A: R 450.00 per Demand Point – payable for a NAP/Drop Point - one side of the road was trenched and road crossings were used to connect the units across the road (Non-gated SDU) Fibre Works only</v>
      </c>
      <c r="D173" s="954" t="str">
        <f>'Master BOQ Pricing_2018-01-08'!D220</f>
        <v>ea</v>
      </c>
      <c r="E173" s="955">
        <f>'Master BOQ Pricing_2018-01-08'!E220</f>
        <v>450</v>
      </c>
      <c r="F173" s="956">
        <f>'Infra Build BOQ'!F220</f>
        <v>0</v>
      </c>
      <c r="G173" s="957">
        <f>'Infra Build BOQ'!G220</f>
        <v>0</v>
      </c>
      <c r="H173" s="973">
        <f>'Infra Build BOQ'!T220</f>
        <v>0</v>
      </c>
      <c r="I173" s="974">
        <f>'Infra Build BOQ'!U220</f>
        <v>0</v>
      </c>
      <c r="J173" s="975">
        <f>'Infra Build BOQ'!V220</f>
        <v>0</v>
      </c>
      <c r="K173" s="976">
        <f>'Infra Build BOQ'!W220</f>
        <v>0</v>
      </c>
      <c r="L173" s="973">
        <f>'Infra Build BOQ'!X220</f>
        <v>0</v>
      </c>
      <c r="M173" s="974">
        <f>'Infra Build BOQ'!Y220</f>
        <v>0</v>
      </c>
      <c r="N173" s="975">
        <f>'Infra Build BOQ'!Z220</f>
        <v>0</v>
      </c>
      <c r="O173" s="976">
        <f>'Infra Build BOQ'!AA220</f>
        <v>0</v>
      </c>
      <c r="P173" s="973">
        <f>'Infra Build BOQ'!AB220</f>
        <v>0</v>
      </c>
      <c r="Q173" s="974">
        <f>'Infra Build BOQ'!AC220</f>
        <v>0</v>
      </c>
      <c r="R173" s="975">
        <f>'Infra Build BOQ'!AD220</f>
        <v>0</v>
      </c>
      <c r="S173" s="976">
        <f>'Infra Build BOQ'!AE220</f>
        <v>0</v>
      </c>
      <c r="T173" s="973">
        <f>'Infra Build BOQ'!AF220</f>
        <v>0</v>
      </c>
      <c r="U173" s="974">
        <f>'Infra Build BOQ'!AG220</f>
        <v>0</v>
      </c>
      <c r="V173" s="975">
        <f>'Infra Build BOQ'!AH220</f>
        <v>0</v>
      </c>
      <c r="W173" s="976">
        <f>'Infra Build BOQ'!AI220</f>
        <v>0</v>
      </c>
      <c r="X173" s="974">
        <f>'Infra Build BOQ'!AJ220</f>
        <v>0</v>
      </c>
      <c r="Y173" s="975">
        <f>'Infra Build BOQ'!AK220</f>
        <v>0</v>
      </c>
      <c r="Z173" s="977">
        <f>'Infra Build BOQ'!AL220</f>
        <v>0</v>
      </c>
    </row>
    <row r="174" spans="2:26" s="296" customFormat="1" ht="28.05" customHeight="1">
      <c r="B174" s="952">
        <f>'Master BOQ Pricing_2018-01-08'!B221</f>
        <v>14.08</v>
      </c>
      <c r="C174" s="953" t="str">
        <f>'Master BOQ Pricing_2018-01-08'!C221</f>
        <v>Price10B: R 450.00 per Demand Point – payable for a NAP/Drop Point - both sides of the road was trenched to connect the units on both sides of the road (Non-gated SDU) Fibre Works only</v>
      </c>
      <c r="D174" s="954" t="str">
        <f>'Master BOQ Pricing_2018-01-08'!D221</f>
        <v>ea</v>
      </c>
      <c r="E174" s="955">
        <f>'Master BOQ Pricing_2018-01-08'!E221</f>
        <v>450</v>
      </c>
      <c r="F174" s="956">
        <f>'Infra Build BOQ'!F221</f>
        <v>0</v>
      </c>
      <c r="G174" s="957">
        <f>'Infra Build BOQ'!G221</f>
        <v>0</v>
      </c>
      <c r="H174" s="973">
        <f>'Infra Build BOQ'!T221</f>
        <v>0</v>
      </c>
      <c r="I174" s="974">
        <f>'Infra Build BOQ'!U221</f>
        <v>0</v>
      </c>
      <c r="J174" s="975">
        <f>'Infra Build BOQ'!V221</f>
        <v>0</v>
      </c>
      <c r="K174" s="976">
        <f>'Infra Build BOQ'!W221</f>
        <v>0</v>
      </c>
      <c r="L174" s="973">
        <f>'Infra Build BOQ'!X221</f>
        <v>0</v>
      </c>
      <c r="M174" s="974">
        <f>'Infra Build BOQ'!Y221</f>
        <v>0</v>
      </c>
      <c r="N174" s="975">
        <f>'Infra Build BOQ'!Z221</f>
        <v>0</v>
      </c>
      <c r="O174" s="976">
        <f>'Infra Build BOQ'!AA221</f>
        <v>0</v>
      </c>
      <c r="P174" s="973">
        <f>'Infra Build BOQ'!AB221</f>
        <v>0</v>
      </c>
      <c r="Q174" s="974">
        <f>'Infra Build BOQ'!AC221</f>
        <v>0</v>
      </c>
      <c r="R174" s="975">
        <f>'Infra Build BOQ'!AD221</f>
        <v>0</v>
      </c>
      <c r="S174" s="976">
        <f>'Infra Build BOQ'!AE221</f>
        <v>0</v>
      </c>
      <c r="T174" s="973">
        <f>'Infra Build BOQ'!AF221</f>
        <v>0</v>
      </c>
      <c r="U174" s="974">
        <f>'Infra Build BOQ'!AG221</f>
        <v>0</v>
      </c>
      <c r="V174" s="975">
        <f>'Infra Build BOQ'!AH221</f>
        <v>0</v>
      </c>
      <c r="W174" s="976">
        <f>'Infra Build BOQ'!AI221</f>
        <v>0</v>
      </c>
      <c r="X174" s="974">
        <f>'Infra Build BOQ'!AJ221</f>
        <v>0</v>
      </c>
      <c r="Y174" s="975">
        <f>'Infra Build BOQ'!AK221</f>
        <v>0</v>
      </c>
      <c r="Z174" s="977">
        <f>'Infra Build BOQ'!AL221</f>
        <v>0</v>
      </c>
    </row>
    <row r="175" spans="2:26" s="296" customFormat="1">
      <c r="B175" s="952">
        <f>'Master BOQ Pricing_2018-01-08'!B222</f>
        <v>14.09</v>
      </c>
      <c r="C175" s="953" t="str">
        <f>'Master BOQ Pricing_2018-01-08'!C222</f>
        <v>Price4A:  R 1800.00 per DP – payable for a MDU complex</v>
      </c>
      <c r="D175" s="954" t="str">
        <f>'Master BOQ Pricing_2018-01-08'!D222</f>
        <v>ea</v>
      </c>
      <c r="E175" s="955">
        <f>'Master BOQ Pricing_2018-01-08'!E222</f>
        <v>1800</v>
      </c>
      <c r="F175" s="956">
        <f>'Infra Build BOQ'!F222</f>
        <v>0</v>
      </c>
      <c r="G175" s="957">
        <f>'Infra Build BOQ'!G222</f>
        <v>0</v>
      </c>
      <c r="H175" s="973">
        <f>'Infra Build BOQ'!T222</f>
        <v>0</v>
      </c>
      <c r="I175" s="974">
        <f>'Infra Build BOQ'!U222</f>
        <v>0</v>
      </c>
      <c r="J175" s="975">
        <f>'Infra Build BOQ'!V222</f>
        <v>0</v>
      </c>
      <c r="K175" s="976">
        <f>'Infra Build BOQ'!W222</f>
        <v>0</v>
      </c>
      <c r="L175" s="973">
        <f>'Infra Build BOQ'!X222</f>
        <v>0</v>
      </c>
      <c r="M175" s="974">
        <f>'Infra Build BOQ'!Y222</f>
        <v>0</v>
      </c>
      <c r="N175" s="975">
        <f>'Infra Build BOQ'!Z222</f>
        <v>0</v>
      </c>
      <c r="O175" s="976">
        <f>'Infra Build BOQ'!AA222</f>
        <v>0</v>
      </c>
      <c r="P175" s="973">
        <f>'Infra Build BOQ'!AB222</f>
        <v>0</v>
      </c>
      <c r="Q175" s="974">
        <f>'Infra Build BOQ'!AC222</f>
        <v>0</v>
      </c>
      <c r="R175" s="975">
        <f>'Infra Build BOQ'!AD222</f>
        <v>0</v>
      </c>
      <c r="S175" s="976">
        <f>'Infra Build BOQ'!AE222</f>
        <v>0</v>
      </c>
      <c r="T175" s="973">
        <f>'Infra Build BOQ'!AF222</f>
        <v>0</v>
      </c>
      <c r="U175" s="974">
        <f>'Infra Build BOQ'!AG222</f>
        <v>0</v>
      </c>
      <c r="V175" s="975">
        <f>'Infra Build BOQ'!AH222</f>
        <v>0</v>
      </c>
      <c r="W175" s="976">
        <f>'Infra Build BOQ'!AI222</f>
        <v>0</v>
      </c>
      <c r="X175" s="974">
        <f>'Infra Build BOQ'!AJ222</f>
        <v>0</v>
      </c>
      <c r="Y175" s="975">
        <f>'Infra Build BOQ'!AK222</f>
        <v>0</v>
      </c>
      <c r="Z175" s="977">
        <f>'Infra Build BOQ'!AL222</f>
        <v>0</v>
      </c>
    </row>
    <row r="176" spans="2:26" s="296" customFormat="1" ht="28.05" customHeight="1">
      <c r="B176" s="952">
        <f>'Master BOQ Pricing_2018-01-08'!B223</f>
        <v>14.1</v>
      </c>
      <c r="C176" s="953" t="str">
        <f>'Master BOQ Pricing_2018-01-08'!C223</f>
        <v>Price4B:  R 1800.00 per DP – payable for a Gated SDU complex with existing ducts or where above ground deployment can be used no trenching required (brown for all units)</v>
      </c>
      <c r="D176" s="954" t="str">
        <f>'Master BOQ Pricing_2018-01-08'!D223</f>
        <v>ea</v>
      </c>
      <c r="E176" s="955">
        <f>'Master BOQ Pricing_2018-01-08'!E223</f>
        <v>1800</v>
      </c>
      <c r="F176" s="956">
        <f>'Infra Build BOQ'!F223</f>
        <v>0</v>
      </c>
      <c r="G176" s="957">
        <f>'Infra Build BOQ'!G223</f>
        <v>0</v>
      </c>
      <c r="H176" s="973">
        <f>'Infra Build BOQ'!T223</f>
        <v>0</v>
      </c>
      <c r="I176" s="974">
        <f>'Infra Build BOQ'!U223</f>
        <v>0</v>
      </c>
      <c r="J176" s="975">
        <f>'Infra Build BOQ'!V223</f>
        <v>0</v>
      </c>
      <c r="K176" s="976">
        <f>'Infra Build BOQ'!W223</f>
        <v>0</v>
      </c>
      <c r="L176" s="973">
        <f>'Infra Build BOQ'!X223</f>
        <v>0</v>
      </c>
      <c r="M176" s="974">
        <f>'Infra Build BOQ'!Y223</f>
        <v>0</v>
      </c>
      <c r="N176" s="975">
        <f>'Infra Build BOQ'!Z223</f>
        <v>0</v>
      </c>
      <c r="O176" s="976">
        <f>'Infra Build BOQ'!AA223</f>
        <v>0</v>
      </c>
      <c r="P176" s="973">
        <f>'Infra Build BOQ'!AB223</f>
        <v>0</v>
      </c>
      <c r="Q176" s="974">
        <f>'Infra Build BOQ'!AC223</f>
        <v>0</v>
      </c>
      <c r="R176" s="975">
        <f>'Infra Build BOQ'!AD223</f>
        <v>0</v>
      </c>
      <c r="S176" s="976">
        <f>'Infra Build BOQ'!AE223</f>
        <v>0</v>
      </c>
      <c r="T176" s="973">
        <f>'Infra Build BOQ'!AF223</f>
        <v>0</v>
      </c>
      <c r="U176" s="974">
        <f>'Infra Build BOQ'!AG223</f>
        <v>0</v>
      </c>
      <c r="V176" s="975">
        <f>'Infra Build BOQ'!AH223</f>
        <v>0</v>
      </c>
      <c r="W176" s="976">
        <f>'Infra Build BOQ'!AI223</f>
        <v>0</v>
      </c>
      <c r="X176" s="974">
        <f>'Infra Build BOQ'!AJ223</f>
        <v>0</v>
      </c>
      <c r="Y176" s="975">
        <f>'Infra Build BOQ'!AK223</f>
        <v>0</v>
      </c>
      <c r="Z176" s="977">
        <f>'Infra Build BOQ'!AL223</f>
        <v>0</v>
      </c>
    </row>
    <row r="177" spans="2:26" s="296" customFormat="1" ht="28.05" customHeight="1">
      <c r="B177" s="952" t="str">
        <f>'Master BOQ Pricing_2018-01-08'!B224</f>
        <v>14,10,1</v>
      </c>
      <c r="C177" s="953" t="str">
        <f>'Master BOQ Pricing_2018-01-08'!C224</f>
        <v>Price4C:  R 200.00 per DP – Survey and Planning : payable for a Gated SDU complex with existing ducts or where above ground deployment can be used no trenching required (brown for all units)</v>
      </c>
      <c r="D177" s="954" t="str">
        <f>'Master BOQ Pricing_2018-01-08'!D224</f>
        <v>ea</v>
      </c>
      <c r="E177" s="955">
        <f>'Master BOQ Pricing_2018-01-08'!E224</f>
        <v>200</v>
      </c>
      <c r="F177" s="956">
        <f>'Infra Build BOQ'!F224</f>
        <v>0</v>
      </c>
      <c r="G177" s="957">
        <f>'Infra Build BOQ'!G224</f>
        <v>0</v>
      </c>
      <c r="H177" s="973">
        <f>'Infra Build BOQ'!T224</f>
        <v>0</v>
      </c>
      <c r="I177" s="974">
        <f>'Infra Build BOQ'!U224</f>
        <v>0</v>
      </c>
      <c r="J177" s="975">
        <f>'Infra Build BOQ'!V224</f>
        <v>0</v>
      </c>
      <c r="K177" s="976">
        <f>'Infra Build BOQ'!W224</f>
        <v>0</v>
      </c>
      <c r="L177" s="973">
        <f>'Infra Build BOQ'!X224</f>
        <v>0</v>
      </c>
      <c r="M177" s="974">
        <f>'Infra Build BOQ'!Y224</f>
        <v>0</v>
      </c>
      <c r="N177" s="975">
        <f>'Infra Build BOQ'!Z224</f>
        <v>0</v>
      </c>
      <c r="O177" s="976">
        <f>'Infra Build BOQ'!AA224</f>
        <v>0</v>
      </c>
      <c r="P177" s="973">
        <f>'Infra Build BOQ'!AB224</f>
        <v>0</v>
      </c>
      <c r="Q177" s="974">
        <f>'Infra Build BOQ'!AC224</f>
        <v>0</v>
      </c>
      <c r="R177" s="975">
        <f>'Infra Build BOQ'!AD224</f>
        <v>0</v>
      </c>
      <c r="S177" s="976">
        <f>'Infra Build BOQ'!AE224</f>
        <v>0</v>
      </c>
      <c r="T177" s="973">
        <f>'Infra Build BOQ'!AF224</f>
        <v>0</v>
      </c>
      <c r="U177" s="974">
        <f>'Infra Build BOQ'!AG224</f>
        <v>0</v>
      </c>
      <c r="V177" s="975">
        <f>'Infra Build BOQ'!AH224</f>
        <v>0</v>
      </c>
      <c r="W177" s="976">
        <f>'Infra Build BOQ'!AI224</f>
        <v>0</v>
      </c>
      <c r="X177" s="974">
        <f>'Infra Build BOQ'!AJ224</f>
        <v>0</v>
      </c>
      <c r="Y177" s="975">
        <f>'Infra Build BOQ'!AK224</f>
        <v>0</v>
      </c>
      <c r="Z177" s="977">
        <f>'Infra Build BOQ'!AL224</f>
        <v>0</v>
      </c>
    </row>
    <row r="178" spans="2:26" s="296" customFormat="1" ht="28.05" customHeight="1">
      <c r="B178" s="952" t="str">
        <f>'Master BOQ Pricing_2018-01-08'!B225</f>
        <v>14,10,2</v>
      </c>
      <c r="C178" s="953" t="str">
        <f>'Master BOQ Pricing_2018-01-08'!C225</f>
        <v>Price4D:  R 1600.00 per DP – Build Only : payable for a Gated SDU complex with existing ducts or where above ground deployment can be used no trenching required (brown for all units)</v>
      </c>
      <c r="D178" s="954" t="str">
        <f>'Master BOQ Pricing_2018-01-08'!D225</f>
        <v>ea</v>
      </c>
      <c r="E178" s="955">
        <f>'Master BOQ Pricing_2018-01-08'!E225</f>
        <v>1600</v>
      </c>
      <c r="F178" s="956">
        <f>'Infra Build BOQ'!F225</f>
        <v>0</v>
      </c>
      <c r="G178" s="957">
        <f>'Infra Build BOQ'!G225</f>
        <v>0</v>
      </c>
      <c r="H178" s="973">
        <f>'Infra Build BOQ'!T225</f>
        <v>0</v>
      </c>
      <c r="I178" s="974">
        <f>'Infra Build BOQ'!U225</f>
        <v>0</v>
      </c>
      <c r="J178" s="975">
        <f>'Infra Build BOQ'!V225</f>
        <v>0</v>
      </c>
      <c r="K178" s="976">
        <f>'Infra Build BOQ'!W225</f>
        <v>0</v>
      </c>
      <c r="L178" s="973">
        <f>'Infra Build BOQ'!X225</f>
        <v>0</v>
      </c>
      <c r="M178" s="974">
        <f>'Infra Build BOQ'!Y225</f>
        <v>0</v>
      </c>
      <c r="N178" s="975">
        <f>'Infra Build BOQ'!Z225</f>
        <v>0</v>
      </c>
      <c r="O178" s="976">
        <f>'Infra Build BOQ'!AA225</f>
        <v>0</v>
      </c>
      <c r="P178" s="973">
        <f>'Infra Build BOQ'!AB225</f>
        <v>0</v>
      </c>
      <c r="Q178" s="974">
        <f>'Infra Build BOQ'!AC225</f>
        <v>0</v>
      </c>
      <c r="R178" s="975">
        <f>'Infra Build BOQ'!AD225</f>
        <v>0</v>
      </c>
      <c r="S178" s="976">
        <f>'Infra Build BOQ'!AE225</f>
        <v>0</v>
      </c>
      <c r="T178" s="973">
        <f>'Infra Build BOQ'!AF225</f>
        <v>0</v>
      </c>
      <c r="U178" s="974">
        <f>'Infra Build BOQ'!AG225</f>
        <v>0</v>
      </c>
      <c r="V178" s="975">
        <f>'Infra Build BOQ'!AH225</f>
        <v>0</v>
      </c>
      <c r="W178" s="976">
        <f>'Infra Build BOQ'!AI225</f>
        <v>0</v>
      </c>
      <c r="X178" s="974">
        <f>'Infra Build BOQ'!AJ225</f>
        <v>0</v>
      </c>
      <c r="Y178" s="975">
        <f>'Infra Build BOQ'!AK225</f>
        <v>0</v>
      </c>
      <c r="Z178" s="977">
        <f>'Infra Build BOQ'!AL225</f>
        <v>0</v>
      </c>
    </row>
    <row r="179" spans="2:26" s="296" customFormat="1">
      <c r="B179" s="952">
        <f>'Master BOQ Pricing_2018-01-08'!B226</f>
        <v>14.11</v>
      </c>
      <c r="C179" s="953" t="str">
        <f>'Master BOQ Pricing_2018-01-08'!C226</f>
        <v>Price5:  R 2800.00 per DP – payable for a gated SDU complex where trenching is required</v>
      </c>
      <c r="D179" s="954" t="str">
        <f>'Master BOQ Pricing_2018-01-08'!D226</f>
        <v>ea</v>
      </c>
      <c r="E179" s="955">
        <f>'Master BOQ Pricing_2018-01-08'!E226</f>
        <v>2800</v>
      </c>
      <c r="F179" s="956">
        <f>'Infra Build BOQ'!F226</f>
        <v>0</v>
      </c>
      <c r="G179" s="957">
        <f>'Infra Build BOQ'!G226</f>
        <v>0</v>
      </c>
      <c r="H179" s="973">
        <f>'Infra Build BOQ'!T226</f>
        <v>0</v>
      </c>
      <c r="I179" s="974">
        <f>'Infra Build BOQ'!U226</f>
        <v>0</v>
      </c>
      <c r="J179" s="975">
        <f>'Infra Build BOQ'!V226</f>
        <v>0</v>
      </c>
      <c r="K179" s="976">
        <f>'Infra Build BOQ'!W226</f>
        <v>0</v>
      </c>
      <c r="L179" s="973">
        <f>'Infra Build BOQ'!X226</f>
        <v>0</v>
      </c>
      <c r="M179" s="974">
        <f>'Infra Build BOQ'!Y226</f>
        <v>0</v>
      </c>
      <c r="N179" s="975">
        <f>'Infra Build BOQ'!Z226</f>
        <v>0</v>
      </c>
      <c r="O179" s="976">
        <f>'Infra Build BOQ'!AA226</f>
        <v>0</v>
      </c>
      <c r="P179" s="973">
        <f>'Infra Build BOQ'!AB226</f>
        <v>0</v>
      </c>
      <c r="Q179" s="974">
        <f>'Infra Build BOQ'!AC226</f>
        <v>0</v>
      </c>
      <c r="R179" s="975">
        <f>'Infra Build BOQ'!AD226</f>
        <v>0</v>
      </c>
      <c r="S179" s="976">
        <f>'Infra Build BOQ'!AE226</f>
        <v>0</v>
      </c>
      <c r="T179" s="973">
        <f>'Infra Build BOQ'!AF226</f>
        <v>0</v>
      </c>
      <c r="U179" s="974">
        <f>'Infra Build BOQ'!AG226</f>
        <v>0</v>
      </c>
      <c r="V179" s="975">
        <f>'Infra Build BOQ'!AH226</f>
        <v>0</v>
      </c>
      <c r="W179" s="976">
        <f>'Infra Build BOQ'!AI226</f>
        <v>0</v>
      </c>
      <c r="X179" s="974">
        <f>'Infra Build BOQ'!AJ226</f>
        <v>0</v>
      </c>
      <c r="Y179" s="975">
        <f>'Infra Build BOQ'!AK226</f>
        <v>0</v>
      </c>
      <c r="Z179" s="977">
        <f>'Infra Build BOQ'!AL226</f>
        <v>0</v>
      </c>
    </row>
    <row r="180" spans="2:26" s="296" customFormat="1">
      <c r="B180" s="952">
        <f>'Master BOQ Pricing_2018-01-08'!B227</f>
        <v>14.12</v>
      </c>
      <c r="C180" s="953" t="str">
        <f>'Master BOQ Pricing_2018-01-08'!C227</f>
        <v>Price6:  R 3000.00 per DP – payable for a complex not P4 or P5 e.g. forms of trench in a townhouse complex</v>
      </c>
      <c r="D180" s="954" t="str">
        <f>'Master BOQ Pricing_2018-01-08'!D227</f>
        <v>ea</v>
      </c>
      <c r="E180" s="955">
        <f>'Master BOQ Pricing_2018-01-08'!E227</f>
        <v>3000</v>
      </c>
      <c r="F180" s="956">
        <f>'Infra Build BOQ'!F227</f>
        <v>0</v>
      </c>
      <c r="G180" s="957">
        <f>'Infra Build BOQ'!G227</f>
        <v>0</v>
      </c>
      <c r="H180" s="973">
        <f>'Infra Build BOQ'!T227</f>
        <v>0</v>
      </c>
      <c r="I180" s="974">
        <f>'Infra Build BOQ'!U227</f>
        <v>0</v>
      </c>
      <c r="J180" s="975">
        <f>'Infra Build BOQ'!V227</f>
        <v>0</v>
      </c>
      <c r="K180" s="976">
        <f>'Infra Build BOQ'!W227</f>
        <v>0</v>
      </c>
      <c r="L180" s="973">
        <f>'Infra Build BOQ'!X227</f>
        <v>0</v>
      </c>
      <c r="M180" s="974">
        <f>'Infra Build BOQ'!Y227</f>
        <v>0</v>
      </c>
      <c r="N180" s="975">
        <f>'Infra Build BOQ'!Z227</f>
        <v>0</v>
      </c>
      <c r="O180" s="976">
        <f>'Infra Build BOQ'!AA227</f>
        <v>0</v>
      </c>
      <c r="P180" s="973">
        <f>'Infra Build BOQ'!AB227</f>
        <v>0</v>
      </c>
      <c r="Q180" s="974">
        <f>'Infra Build BOQ'!AC227</f>
        <v>0</v>
      </c>
      <c r="R180" s="975">
        <f>'Infra Build BOQ'!AD227</f>
        <v>0</v>
      </c>
      <c r="S180" s="976">
        <f>'Infra Build BOQ'!AE227</f>
        <v>0</v>
      </c>
      <c r="T180" s="973">
        <f>'Infra Build BOQ'!AF227</f>
        <v>0</v>
      </c>
      <c r="U180" s="974">
        <f>'Infra Build BOQ'!AG227</f>
        <v>0</v>
      </c>
      <c r="V180" s="975">
        <f>'Infra Build BOQ'!AH227</f>
        <v>0</v>
      </c>
      <c r="W180" s="976">
        <f>'Infra Build BOQ'!AI227</f>
        <v>0</v>
      </c>
      <c r="X180" s="974">
        <f>'Infra Build BOQ'!AJ227</f>
        <v>0</v>
      </c>
      <c r="Y180" s="975">
        <f>'Infra Build BOQ'!AK227</f>
        <v>0</v>
      </c>
      <c r="Z180" s="977">
        <f>'Infra Build BOQ'!AL227</f>
        <v>0</v>
      </c>
    </row>
    <row r="181" spans="2:26" s="296" customFormat="1">
      <c r="B181" s="952">
        <f>'Master BOQ Pricing_2018-01-08'!B228</f>
        <v>14.13</v>
      </c>
      <c r="C181" s="953" t="str">
        <f>'Master BOQ Pricing_2018-01-08'!C228</f>
        <v>Price7:  R 900.00 per FTB – payable per MDU Last Drop Completed</v>
      </c>
      <c r="D181" s="954" t="str">
        <f>'Master BOQ Pricing_2018-01-08'!D228</f>
        <v>ea</v>
      </c>
      <c r="E181" s="955">
        <f>'Master BOQ Pricing_2018-01-08'!E228</f>
        <v>900</v>
      </c>
      <c r="F181" s="956">
        <f>'Infra Build BOQ'!F228</f>
        <v>0</v>
      </c>
      <c r="G181" s="957">
        <f>'Infra Build BOQ'!G228</f>
        <v>0</v>
      </c>
      <c r="H181" s="973">
        <f>'Infra Build BOQ'!T228</f>
        <v>0</v>
      </c>
      <c r="I181" s="974">
        <f>'Infra Build BOQ'!U228</f>
        <v>0</v>
      </c>
      <c r="J181" s="975">
        <f>'Infra Build BOQ'!V228</f>
        <v>0</v>
      </c>
      <c r="K181" s="976">
        <f>'Infra Build BOQ'!W228</f>
        <v>0</v>
      </c>
      <c r="L181" s="973">
        <f>'Infra Build BOQ'!X228</f>
        <v>0</v>
      </c>
      <c r="M181" s="974">
        <f>'Infra Build BOQ'!Y228</f>
        <v>0</v>
      </c>
      <c r="N181" s="975">
        <f>'Infra Build BOQ'!Z228</f>
        <v>0</v>
      </c>
      <c r="O181" s="976">
        <f>'Infra Build BOQ'!AA228</f>
        <v>0</v>
      </c>
      <c r="P181" s="973">
        <f>'Infra Build BOQ'!AB228</f>
        <v>0</v>
      </c>
      <c r="Q181" s="974">
        <f>'Infra Build BOQ'!AC228</f>
        <v>0</v>
      </c>
      <c r="R181" s="975">
        <f>'Infra Build BOQ'!AD228</f>
        <v>0</v>
      </c>
      <c r="S181" s="976">
        <f>'Infra Build BOQ'!AE228</f>
        <v>0</v>
      </c>
      <c r="T181" s="973">
        <f>'Infra Build BOQ'!AF228</f>
        <v>0</v>
      </c>
      <c r="U181" s="974">
        <f>'Infra Build BOQ'!AG228</f>
        <v>0</v>
      </c>
      <c r="V181" s="975">
        <f>'Infra Build BOQ'!AH228</f>
        <v>0</v>
      </c>
      <c r="W181" s="976">
        <f>'Infra Build BOQ'!AI228</f>
        <v>0</v>
      </c>
      <c r="X181" s="974">
        <f>'Infra Build BOQ'!AJ228</f>
        <v>0</v>
      </c>
      <c r="Y181" s="975">
        <f>'Infra Build BOQ'!AK228</f>
        <v>0</v>
      </c>
      <c r="Z181" s="977">
        <f>'Infra Build BOQ'!AL228</f>
        <v>0</v>
      </c>
    </row>
    <row r="182" spans="2:26" s="296" customFormat="1">
      <c r="B182" s="952">
        <f>'Master BOQ Pricing_2018-01-08'!B229</f>
        <v>14.14</v>
      </c>
      <c r="C182" s="953" t="str">
        <f>'Master BOQ Pricing_2018-01-08'!C229</f>
        <v>Price8:  R 1 500.00 per FTB – payable per SDU Last Drop Completed</v>
      </c>
      <c r="D182" s="954" t="str">
        <f>'Master BOQ Pricing_2018-01-08'!D229</f>
        <v>ea</v>
      </c>
      <c r="E182" s="955">
        <f>'Master BOQ Pricing_2018-01-08'!E229</f>
        <v>1500</v>
      </c>
      <c r="F182" s="956">
        <f>'Infra Build BOQ'!F229</f>
        <v>0</v>
      </c>
      <c r="G182" s="957">
        <f>'Infra Build BOQ'!G229</f>
        <v>0</v>
      </c>
      <c r="H182" s="973">
        <f>'Infra Build BOQ'!T229</f>
        <v>0</v>
      </c>
      <c r="I182" s="974">
        <f>'Infra Build BOQ'!U229</f>
        <v>0</v>
      </c>
      <c r="J182" s="975">
        <f>'Infra Build BOQ'!V229</f>
        <v>0</v>
      </c>
      <c r="K182" s="976">
        <f>'Infra Build BOQ'!W229</f>
        <v>0</v>
      </c>
      <c r="L182" s="973">
        <f>'Infra Build BOQ'!X229</f>
        <v>0</v>
      </c>
      <c r="M182" s="974">
        <f>'Infra Build BOQ'!Y229</f>
        <v>0</v>
      </c>
      <c r="N182" s="975">
        <f>'Infra Build BOQ'!Z229</f>
        <v>0</v>
      </c>
      <c r="O182" s="976">
        <f>'Infra Build BOQ'!AA229</f>
        <v>0</v>
      </c>
      <c r="P182" s="973">
        <f>'Infra Build BOQ'!AB229</f>
        <v>0</v>
      </c>
      <c r="Q182" s="974">
        <f>'Infra Build BOQ'!AC229</f>
        <v>0</v>
      </c>
      <c r="R182" s="975">
        <f>'Infra Build BOQ'!AD229</f>
        <v>0</v>
      </c>
      <c r="S182" s="976">
        <f>'Infra Build BOQ'!AE229</f>
        <v>0</v>
      </c>
      <c r="T182" s="973">
        <f>'Infra Build BOQ'!AF229</f>
        <v>0</v>
      </c>
      <c r="U182" s="974">
        <f>'Infra Build BOQ'!AG229</f>
        <v>0</v>
      </c>
      <c r="V182" s="975">
        <f>'Infra Build BOQ'!AH229</f>
        <v>0</v>
      </c>
      <c r="W182" s="976">
        <f>'Infra Build BOQ'!AI229</f>
        <v>0</v>
      </c>
      <c r="X182" s="974">
        <f>'Infra Build BOQ'!AJ229</f>
        <v>0</v>
      </c>
      <c r="Y182" s="975">
        <f>'Infra Build BOQ'!AK229</f>
        <v>0</v>
      </c>
      <c r="Z182" s="977">
        <f>'Infra Build BOQ'!AL229</f>
        <v>0</v>
      </c>
    </row>
    <row r="183" spans="2:26" s="296" customFormat="1">
      <c r="B183" s="963">
        <f>'Master BOQ Pricing_2018-01-08'!B230</f>
        <v>15</v>
      </c>
      <c r="C183" s="964" t="str">
        <f>'Master BOQ Pricing_2018-01-08'!C230</f>
        <v>AS-BUILT DOCUMENTATION</v>
      </c>
      <c r="D183" s="965"/>
      <c r="E183" s="966"/>
      <c r="F183" s="978"/>
      <c r="G183" s="979"/>
      <c r="H183" s="980"/>
      <c r="I183" s="981"/>
      <c r="J183" s="982"/>
      <c r="K183" s="983"/>
      <c r="L183" s="980"/>
      <c r="M183" s="981"/>
      <c r="N183" s="982"/>
      <c r="O183" s="983"/>
      <c r="P183" s="980"/>
      <c r="Q183" s="981"/>
      <c r="R183" s="982"/>
      <c r="S183" s="983"/>
      <c r="T183" s="980"/>
      <c r="U183" s="981"/>
      <c r="V183" s="982"/>
      <c r="W183" s="983"/>
      <c r="X183" s="981"/>
      <c r="Y183" s="982"/>
      <c r="Z183" s="984"/>
    </row>
    <row r="184" spans="2:26" s="296" customFormat="1">
      <c r="B184" s="952">
        <f>'Master BOQ Pricing_2018-01-08'!B231</f>
        <v>15.01</v>
      </c>
      <c r="C184" s="953" t="str">
        <f>'Master BOQ Pricing_2018-01-08'!C231</f>
        <v>Complete ISP as-built documents</v>
      </c>
      <c r="D184" s="954" t="str">
        <f>'Master BOQ Pricing_2018-01-08'!D231</f>
        <v>ea</v>
      </c>
      <c r="E184" s="955">
        <f>'Master BOQ Pricing_2018-01-08'!E231</f>
        <v>1000</v>
      </c>
      <c r="F184" s="956">
        <f>'Infra Build BOQ'!F231</f>
        <v>0</v>
      </c>
      <c r="G184" s="957">
        <f>'Infra Build BOQ'!G231</f>
        <v>0</v>
      </c>
      <c r="H184" s="973">
        <f>'Infra Build BOQ'!T231</f>
        <v>0</v>
      </c>
      <c r="I184" s="974">
        <f>'Infra Build BOQ'!U231</f>
        <v>0</v>
      </c>
      <c r="J184" s="975">
        <f>'Infra Build BOQ'!V231</f>
        <v>0</v>
      </c>
      <c r="K184" s="976">
        <f>'Infra Build BOQ'!W231</f>
        <v>0</v>
      </c>
      <c r="L184" s="973">
        <f>'Infra Build BOQ'!X231</f>
        <v>0</v>
      </c>
      <c r="M184" s="974">
        <f>'Infra Build BOQ'!Y231</f>
        <v>0</v>
      </c>
      <c r="N184" s="975">
        <f>'Infra Build BOQ'!Z231</f>
        <v>0</v>
      </c>
      <c r="O184" s="976">
        <f>'Infra Build BOQ'!AA231</f>
        <v>0</v>
      </c>
      <c r="P184" s="973">
        <f>'Infra Build BOQ'!AB231</f>
        <v>0</v>
      </c>
      <c r="Q184" s="974">
        <f>'Infra Build BOQ'!AC231</f>
        <v>0</v>
      </c>
      <c r="R184" s="975">
        <f>'Infra Build BOQ'!AD231</f>
        <v>0</v>
      </c>
      <c r="S184" s="976">
        <f>'Infra Build BOQ'!AE231</f>
        <v>0</v>
      </c>
      <c r="T184" s="973">
        <f>'Infra Build BOQ'!AF231</f>
        <v>0</v>
      </c>
      <c r="U184" s="974">
        <f>'Infra Build BOQ'!AG231</f>
        <v>0</v>
      </c>
      <c r="V184" s="975">
        <f>'Infra Build BOQ'!AH231</f>
        <v>0</v>
      </c>
      <c r="W184" s="976">
        <f>'Infra Build BOQ'!AI231</f>
        <v>0</v>
      </c>
      <c r="X184" s="974">
        <f>'Infra Build BOQ'!AJ231</f>
        <v>0</v>
      </c>
      <c r="Y184" s="975">
        <f>'Infra Build BOQ'!AK231</f>
        <v>0</v>
      </c>
      <c r="Z184" s="977">
        <f>'Infra Build BOQ'!AL231</f>
        <v>0</v>
      </c>
    </row>
    <row r="185" spans="2:26" s="296" customFormat="1">
      <c r="B185" s="952">
        <f>'Master BOQ Pricing_2018-01-08'!B232</f>
        <v>15.02</v>
      </c>
      <c r="C185" s="953" t="str">
        <f>'Master BOQ Pricing_2018-01-08'!C232</f>
        <v>Complete OSP as-built information</v>
      </c>
      <c r="D185" s="954" t="str">
        <f>'Master BOQ Pricing_2018-01-08'!D232</f>
        <v>ea</v>
      </c>
      <c r="E185" s="955">
        <f>'Master BOQ Pricing_2018-01-08'!E232</f>
        <v>1000</v>
      </c>
      <c r="F185" s="956">
        <f>'Infra Build BOQ'!F232</f>
        <v>0</v>
      </c>
      <c r="G185" s="957">
        <f>'Infra Build BOQ'!G232</f>
        <v>0</v>
      </c>
      <c r="H185" s="973">
        <f>'Infra Build BOQ'!T232</f>
        <v>0</v>
      </c>
      <c r="I185" s="974">
        <f>'Infra Build BOQ'!U232</f>
        <v>0</v>
      </c>
      <c r="J185" s="975">
        <f>'Infra Build BOQ'!V232</f>
        <v>0</v>
      </c>
      <c r="K185" s="976">
        <f>'Infra Build BOQ'!W232</f>
        <v>0</v>
      </c>
      <c r="L185" s="973">
        <f>'Infra Build BOQ'!X232</f>
        <v>0</v>
      </c>
      <c r="M185" s="974">
        <f>'Infra Build BOQ'!Y232</f>
        <v>0</v>
      </c>
      <c r="N185" s="975">
        <f>'Infra Build BOQ'!Z232</f>
        <v>0</v>
      </c>
      <c r="O185" s="976">
        <f>'Infra Build BOQ'!AA232</f>
        <v>0</v>
      </c>
      <c r="P185" s="973">
        <f>'Infra Build BOQ'!AB232</f>
        <v>0</v>
      </c>
      <c r="Q185" s="974">
        <f>'Infra Build BOQ'!AC232</f>
        <v>0</v>
      </c>
      <c r="R185" s="975">
        <f>'Infra Build BOQ'!AD232</f>
        <v>0</v>
      </c>
      <c r="S185" s="976">
        <f>'Infra Build BOQ'!AE232</f>
        <v>0</v>
      </c>
      <c r="T185" s="973">
        <f>'Infra Build BOQ'!AF232</f>
        <v>0</v>
      </c>
      <c r="U185" s="974">
        <f>'Infra Build BOQ'!AG232</f>
        <v>0</v>
      </c>
      <c r="V185" s="975">
        <f>'Infra Build BOQ'!AH232</f>
        <v>0</v>
      </c>
      <c r="W185" s="976">
        <f>'Infra Build BOQ'!AI232</f>
        <v>0</v>
      </c>
      <c r="X185" s="974">
        <f>'Infra Build BOQ'!AJ232</f>
        <v>0</v>
      </c>
      <c r="Y185" s="975">
        <f>'Infra Build BOQ'!AK232</f>
        <v>0</v>
      </c>
      <c r="Z185" s="977">
        <f>'Infra Build BOQ'!AL232</f>
        <v>0</v>
      </c>
    </row>
    <row r="186" spans="2:26" s="296" customFormat="1">
      <c r="B186" s="952">
        <f>'Master BOQ Pricing_2018-01-08'!B233</f>
        <v>15.03</v>
      </c>
      <c r="C186" s="953" t="str">
        <f>'Master BOQ Pricing_2018-01-08'!C233</f>
        <v>Complete ISP as-built documents (FTTX)</v>
      </c>
      <c r="D186" s="954" t="str">
        <f>'Master BOQ Pricing_2018-01-08'!D233</f>
        <v>ea</v>
      </c>
      <c r="E186" s="955">
        <f>'Master BOQ Pricing_2018-01-08'!E233</f>
        <v>250</v>
      </c>
      <c r="F186" s="956">
        <f>'Infra Build BOQ'!F233</f>
        <v>0</v>
      </c>
      <c r="G186" s="957">
        <f>'Infra Build BOQ'!G233</f>
        <v>0</v>
      </c>
      <c r="H186" s="973">
        <f>'Infra Build BOQ'!T233</f>
        <v>0</v>
      </c>
      <c r="I186" s="974">
        <f>'Infra Build BOQ'!U233</f>
        <v>0</v>
      </c>
      <c r="J186" s="975">
        <f>'Infra Build BOQ'!V233</f>
        <v>0</v>
      </c>
      <c r="K186" s="976">
        <f>'Infra Build BOQ'!W233</f>
        <v>0</v>
      </c>
      <c r="L186" s="973">
        <f>'Infra Build BOQ'!X233</f>
        <v>0</v>
      </c>
      <c r="M186" s="974">
        <f>'Infra Build BOQ'!Y233</f>
        <v>0</v>
      </c>
      <c r="N186" s="975">
        <f>'Infra Build BOQ'!Z233</f>
        <v>0</v>
      </c>
      <c r="O186" s="976">
        <f>'Infra Build BOQ'!AA233</f>
        <v>0</v>
      </c>
      <c r="P186" s="973">
        <f>'Infra Build BOQ'!AB233</f>
        <v>0</v>
      </c>
      <c r="Q186" s="974">
        <f>'Infra Build BOQ'!AC233</f>
        <v>0</v>
      </c>
      <c r="R186" s="975">
        <f>'Infra Build BOQ'!AD233</f>
        <v>0</v>
      </c>
      <c r="S186" s="976">
        <f>'Infra Build BOQ'!AE233</f>
        <v>0</v>
      </c>
      <c r="T186" s="973">
        <f>'Infra Build BOQ'!AF233</f>
        <v>0</v>
      </c>
      <c r="U186" s="974">
        <f>'Infra Build BOQ'!AG233</f>
        <v>0</v>
      </c>
      <c r="V186" s="975">
        <f>'Infra Build BOQ'!AH233</f>
        <v>0</v>
      </c>
      <c r="W186" s="976">
        <f>'Infra Build BOQ'!AI233</f>
        <v>0</v>
      </c>
      <c r="X186" s="974">
        <f>'Infra Build BOQ'!AJ233</f>
        <v>0</v>
      </c>
      <c r="Y186" s="975">
        <f>'Infra Build BOQ'!AK233</f>
        <v>0</v>
      </c>
      <c r="Z186" s="977">
        <f>'Infra Build BOQ'!AL233</f>
        <v>0</v>
      </c>
    </row>
    <row r="187" spans="2:26" s="296" customFormat="1">
      <c r="B187" s="963">
        <f>'Master BOQ Pricing_2018-01-08'!B234</f>
        <v>16</v>
      </c>
      <c r="C187" s="964" t="str">
        <f>'Master BOQ Pricing_2018-01-08'!C234</f>
        <v>ADDITIONAL</v>
      </c>
      <c r="D187" s="965"/>
      <c r="E187" s="966"/>
      <c r="F187" s="978"/>
      <c r="G187" s="979"/>
      <c r="H187" s="980"/>
      <c r="I187" s="981"/>
      <c r="J187" s="982"/>
      <c r="K187" s="983"/>
      <c r="L187" s="980"/>
      <c r="M187" s="981"/>
      <c r="N187" s="982"/>
      <c r="O187" s="983"/>
      <c r="P187" s="980"/>
      <c r="Q187" s="981"/>
      <c r="R187" s="982"/>
      <c r="S187" s="983"/>
      <c r="T187" s="980"/>
      <c r="U187" s="981"/>
      <c r="V187" s="982"/>
      <c r="W187" s="983"/>
      <c r="X187" s="981"/>
      <c r="Y187" s="982"/>
      <c r="Z187" s="984"/>
    </row>
    <row r="188" spans="2:26" s="296" customFormat="1">
      <c r="B188" s="952">
        <f>'Master BOQ Pricing_2018-01-08'!B235</f>
        <v>16.010000000000002</v>
      </c>
      <c r="C188" s="953" t="str">
        <f>'Master BOQ Pricing_2018-01-08'!C235</f>
        <v xml:space="preserve">Portable toilet hire </v>
      </c>
      <c r="D188" s="954" t="str">
        <f>'Master BOQ Pricing_2018-01-08'!D235</f>
        <v>per day</v>
      </c>
      <c r="E188" s="955">
        <f>'Master BOQ Pricing_2018-01-08'!E235</f>
        <v>130</v>
      </c>
      <c r="F188" s="956">
        <f>'Infra Build BOQ'!F235</f>
        <v>0</v>
      </c>
      <c r="G188" s="957">
        <f>'Infra Build BOQ'!G235</f>
        <v>0</v>
      </c>
      <c r="H188" s="973">
        <f>'Infra Build BOQ'!T235</f>
        <v>0</v>
      </c>
      <c r="I188" s="974">
        <f>'Infra Build BOQ'!U235</f>
        <v>0</v>
      </c>
      <c r="J188" s="975">
        <f>'Infra Build BOQ'!V235</f>
        <v>0</v>
      </c>
      <c r="K188" s="976">
        <f>'Infra Build BOQ'!W235</f>
        <v>0</v>
      </c>
      <c r="L188" s="973">
        <f>'Infra Build BOQ'!X235</f>
        <v>0</v>
      </c>
      <c r="M188" s="974">
        <f>'Infra Build BOQ'!Y235</f>
        <v>0</v>
      </c>
      <c r="N188" s="975">
        <f>'Infra Build BOQ'!Z235</f>
        <v>0</v>
      </c>
      <c r="O188" s="976">
        <f>'Infra Build BOQ'!AA235</f>
        <v>0</v>
      </c>
      <c r="P188" s="973">
        <f>'Infra Build BOQ'!AB235</f>
        <v>0</v>
      </c>
      <c r="Q188" s="974">
        <f>'Infra Build BOQ'!AC235</f>
        <v>0</v>
      </c>
      <c r="R188" s="975">
        <f>'Infra Build BOQ'!AD235</f>
        <v>0</v>
      </c>
      <c r="S188" s="976">
        <f>'Infra Build BOQ'!AE235</f>
        <v>0</v>
      </c>
      <c r="T188" s="973">
        <f>'Infra Build BOQ'!AF235</f>
        <v>0</v>
      </c>
      <c r="U188" s="974">
        <f>'Infra Build BOQ'!AG235</f>
        <v>0</v>
      </c>
      <c r="V188" s="975">
        <f>'Infra Build BOQ'!AH235</f>
        <v>0</v>
      </c>
      <c r="W188" s="976">
        <f>'Infra Build BOQ'!AI235</f>
        <v>0</v>
      </c>
      <c r="X188" s="974">
        <f>'Infra Build BOQ'!AJ235</f>
        <v>0</v>
      </c>
      <c r="Y188" s="975">
        <f>'Infra Build BOQ'!AK235</f>
        <v>0</v>
      </c>
      <c r="Z188" s="977">
        <f>'Infra Build BOQ'!AL235</f>
        <v>0</v>
      </c>
    </row>
    <row r="189" spans="2:26" s="296" customFormat="1">
      <c r="B189" s="952">
        <f>'Master BOQ Pricing_2018-01-08'!B236</f>
        <v>16.02</v>
      </c>
      <c r="C189" s="953" t="str">
        <f>'Master BOQ Pricing_2018-01-08'!C236</f>
        <v>Removal of Waste Material</v>
      </c>
      <c r="D189" s="954" t="str">
        <f>'Master BOQ Pricing_2018-01-08'!D236</f>
        <v>m³</v>
      </c>
      <c r="E189" s="955">
        <f>'Master BOQ Pricing_2018-01-08'!E236</f>
        <v>150</v>
      </c>
      <c r="F189" s="956">
        <f>'Infra Build BOQ'!F236</f>
        <v>0</v>
      </c>
      <c r="G189" s="957">
        <f>'Infra Build BOQ'!G236</f>
        <v>0</v>
      </c>
      <c r="H189" s="973">
        <f>'Infra Build BOQ'!T236</f>
        <v>0</v>
      </c>
      <c r="I189" s="974">
        <f>'Infra Build BOQ'!U236</f>
        <v>0</v>
      </c>
      <c r="J189" s="975">
        <f>'Infra Build BOQ'!V236</f>
        <v>0</v>
      </c>
      <c r="K189" s="976">
        <f>'Infra Build BOQ'!W236</f>
        <v>0</v>
      </c>
      <c r="L189" s="973">
        <f>'Infra Build BOQ'!X236</f>
        <v>0</v>
      </c>
      <c r="M189" s="974">
        <f>'Infra Build BOQ'!Y236</f>
        <v>0</v>
      </c>
      <c r="N189" s="975">
        <f>'Infra Build BOQ'!Z236</f>
        <v>0</v>
      </c>
      <c r="O189" s="976">
        <f>'Infra Build BOQ'!AA236</f>
        <v>0</v>
      </c>
      <c r="P189" s="973">
        <f>'Infra Build BOQ'!AB236</f>
        <v>0</v>
      </c>
      <c r="Q189" s="974">
        <f>'Infra Build BOQ'!AC236</f>
        <v>0</v>
      </c>
      <c r="R189" s="975">
        <f>'Infra Build BOQ'!AD236</f>
        <v>0</v>
      </c>
      <c r="S189" s="976">
        <f>'Infra Build BOQ'!AE236</f>
        <v>0</v>
      </c>
      <c r="T189" s="973">
        <f>'Infra Build BOQ'!AF236</f>
        <v>0</v>
      </c>
      <c r="U189" s="974">
        <f>'Infra Build BOQ'!AG236</f>
        <v>0</v>
      </c>
      <c r="V189" s="975">
        <f>'Infra Build BOQ'!AH236</f>
        <v>0</v>
      </c>
      <c r="W189" s="976">
        <f>'Infra Build BOQ'!AI236</f>
        <v>0</v>
      </c>
      <c r="X189" s="974">
        <f>'Infra Build BOQ'!AJ236</f>
        <v>0</v>
      </c>
      <c r="Y189" s="975">
        <f>'Infra Build BOQ'!AK236</f>
        <v>0</v>
      </c>
      <c r="Z189" s="977">
        <f>'Infra Build BOQ'!AL236</f>
        <v>0</v>
      </c>
    </row>
    <row r="190" spans="2:26" s="296" customFormat="1">
      <c r="B190" s="952">
        <f>'Master BOQ Pricing_2018-01-08'!B237</f>
        <v>16.03</v>
      </c>
      <c r="C190" s="953" t="str">
        <f>'Master BOQ Pricing_2018-01-08'!C237</f>
        <v>Sand Bags (bag purchase &amp; filling with sand)</v>
      </c>
      <c r="D190" s="954" t="str">
        <f>'Master BOQ Pricing_2018-01-08'!D237</f>
        <v>ea</v>
      </c>
      <c r="E190" s="955">
        <f>'Master BOQ Pricing_2018-01-08'!E237</f>
        <v>20</v>
      </c>
      <c r="F190" s="956">
        <f>'Infra Build BOQ'!F237</f>
        <v>0</v>
      </c>
      <c r="G190" s="957">
        <f>'Infra Build BOQ'!G237</f>
        <v>0</v>
      </c>
      <c r="H190" s="973">
        <f>'Infra Build BOQ'!T237</f>
        <v>0</v>
      </c>
      <c r="I190" s="974">
        <f>'Infra Build BOQ'!U237</f>
        <v>0</v>
      </c>
      <c r="J190" s="975">
        <f>'Infra Build BOQ'!V237</f>
        <v>0</v>
      </c>
      <c r="K190" s="976">
        <f>'Infra Build BOQ'!W237</f>
        <v>0</v>
      </c>
      <c r="L190" s="973">
        <f>'Infra Build BOQ'!X237</f>
        <v>0</v>
      </c>
      <c r="M190" s="974">
        <f>'Infra Build BOQ'!Y237</f>
        <v>0</v>
      </c>
      <c r="N190" s="975">
        <f>'Infra Build BOQ'!Z237</f>
        <v>0</v>
      </c>
      <c r="O190" s="976">
        <f>'Infra Build BOQ'!AA237</f>
        <v>0</v>
      </c>
      <c r="P190" s="973">
        <f>'Infra Build BOQ'!AB237</f>
        <v>0</v>
      </c>
      <c r="Q190" s="974">
        <f>'Infra Build BOQ'!AC237</f>
        <v>0</v>
      </c>
      <c r="R190" s="975">
        <f>'Infra Build BOQ'!AD237</f>
        <v>0</v>
      </c>
      <c r="S190" s="976">
        <f>'Infra Build BOQ'!AE237</f>
        <v>0</v>
      </c>
      <c r="T190" s="973">
        <f>'Infra Build BOQ'!AF237</f>
        <v>0</v>
      </c>
      <c r="U190" s="974">
        <f>'Infra Build BOQ'!AG237</f>
        <v>0</v>
      </c>
      <c r="V190" s="975">
        <f>'Infra Build BOQ'!AH237</f>
        <v>0</v>
      </c>
      <c r="W190" s="976">
        <f>'Infra Build BOQ'!AI237</f>
        <v>0</v>
      </c>
      <c r="X190" s="974">
        <f>'Infra Build BOQ'!AJ237</f>
        <v>0</v>
      </c>
      <c r="Y190" s="975">
        <f>'Infra Build BOQ'!AK237</f>
        <v>0</v>
      </c>
      <c r="Z190" s="977">
        <f>'Infra Build BOQ'!AL237</f>
        <v>0</v>
      </c>
    </row>
    <row r="191" spans="2:26" s="296" customFormat="1">
      <c r="B191" s="952">
        <f>'Master BOQ Pricing_2018-01-08'!B238</f>
        <v>16.04</v>
      </c>
      <c r="C191" s="953" t="str">
        <f>'Master BOQ Pricing_2018-01-08'!C238</f>
        <v>Clean 3rd party Manhole and correctly manage cable per manhole</v>
      </c>
      <c r="D191" s="954" t="str">
        <f>'Master BOQ Pricing_2018-01-08'!D238</f>
        <v>ea</v>
      </c>
      <c r="E191" s="955">
        <f>'Master BOQ Pricing_2018-01-08'!E238</f>
        <v>40</v>
      </c>
      <c r="F191" s="956">
        <f>'Infra Build BOQ'!F238</f>
        <v>0</v>
      </c>
      <c r="G191" s="957">
        <f>'Infra Build BOQ'!G238</f>
        <v>0</v>
      </c>
      <c r="H191" s="973">
        <f>'Infra Build BOQ'!T238</f>
        <v>0</v>
      </c>
      <c r="I191" s="974">
        <f>'Infra Build BOQ'!U238</f>
        <v>0</v>
      </c>
      <c r="J191" s="975">
        <f>'Infra Build BOQ'!V238</f>
        <v>0</v>
      </c>
      <c r="K191" s="976">
        <f>'Infra Build BOQ'!W238</f>
        <v>0</v>
      </c>
      <c r="L191" s="973">
        <f>'Infra Build BOQ'!X238</f>
        <v>0</v>
      </c>
      <c r="M191" s="974">
        <f>'Infra Build BOQ'!Y238</f>
        <v>0</v>
      </c>
      <c r="N191" s="975">
        <f>'Infra Build BOQ'!Z238</f>
        <v>0</v>
      </c>
      <c r="O191" s="976">
        <f>'Infra Build BOQ'!AA238</f>
        <v>0</v>
      </c>
      <c r="P191" s="973">
        <f>'Infra Build BOQ'!AB238</f>
        <v>0</v>
      </c>
      <c r="Q191" s="974">
        <f>'Infra Build BOQ'!AC238</f>
        <v>0</v>
      </c>
      <c r="R191" s="975">
        <f>'Infra Build BOQ'!AD238</f>
        <v>0</v>
      </c>
      <c r="S191" s="976">
        <f>'Infra Build BOQ'!AE238</f>
        <v>0</v>
      </c>
      <c r="T191" s="973">
        <f>'Infra Build BOQ'!AF238</f>
        <v>0</v>
      </c>
      <c r="U191" s="974">
        <f>'Infra Build BOQ'!AG238</f>
        <v>0</v>
      </c>
      <c r="V191" s="975">
        <f>'Infra Build BOQ'!AH238</f>
        <v>0</v>
      </c>
      <c r="W191" s="976">
        <f>'Infra Build BOQ'!AI238</f>
        <v>0</v>
      </c>
      <c r="X191" s="974">
        <f>'Infra Build BOQ'!AJ238</f>
        <v>0</v>
      </c>
      <c r="Y191" s="975">
        <f>'Infra Build BOQ'!AK238</f>
        <v>0</v>
      </c>
      <c r="Z191" s="977">
        <f>'Infra Build BOQ'!AL238</f>
        <v>0</v>
      </c>
    </row>
    <row r="192" spans="2:26" s="296" customFormat="1">
      <c r="B192" s="952">
        <f>'Master BOQ Pricing_2018-01-08'!B239</f>
        <v>16.05</v>
      </c>
      <c r="C192" s="953" t="str">
        <f>'Master BOQ Pricing_2018-01-08'!C239</f>
        <v>Safety File</v>
      </c>
      <c r="D192" s="954" t="str">
        <f>'Master BOQ Pricing_2018-01-08'!D239</f>
        <v>ea</v>
      </c>
      <c r="E192" s="955">
        <f>'Master BOQ Pricing_2018-01-08'!E239</f>
        <v>500</v>
      </c>
      <c r="F192" s="956">
        <f>'Infra Build BOQ'!F239</f>
        <v>1</v>
      </c>
      <c r="G192" s="957">
        <f>'Infra Build BOQ'!G239</f>
        <v>500</v>
      </c>
      <c r="H192" s="973">
        <f>'Infra Build BOQ'!T239</f>
        <v>0</v>
      </c>
      <c r="I192" s="974">
        <f>'Infra Build BOQ'!U239</f>
        <v>1</v>
      </c>
      <c r="J192" s="975">
        <f>'Infra Build BOQ'!V239</f>
        <v>500</v>
      </c>
      <c r="K192" s="976">
        <f>'Infra Build BOQ'!W239</f>
        <v>0</v>
      </c>
      <c r="L192" s="973">
        <f>'Infra Build BOQ'!X239</f>
        <v>0</v>
      </c>
      <c r="M192" s="974">
        <f>'Infra Build BOQ'!Y239</f>
        <v>1</v>
      </c>
      <c r="N192" s="975">
        <f>'Infra Build BOQ'!Z239</f>
        <v>500</v>
      </c>
      <c r="O192" s="976">
        <f>'Infra Build BOQ'!AA239</f>
        <v>0</v>
      </c>
      <c r="P192" s="973">
        <f>'Infra Build BOQ'!AB239</f>
        <v>0</v>
      </c>
      <c r="Q192" s="974">
        <f>'Infra Build BOQ'!AC239</f>
        <v>1</v>
      </c>
      <c r="R192" s="975">
        <f>'Infra Build BOQ'!AD239</f>
        <v>500</v>
      </c>
      <c r="S192" s="976">
        <f>'Infra Build BOQ'!AE239</f>
        <v>0</v>
      </c>
      <c r="T192" s="973">
        <f>'Infra Build BOQ'!AF239</f>
        <v>0</v>
      </c>
      <c r="U192" s="974">
        <f>'Infra Build BOQ'!AG239</f>
        <v>1</v>
      </c>
      <c r="V192" s="975">
        <f>'Infra Build BOQ'!AH239</f>
        <v>500</v>
      </c>
      <c r="W192" s="976">
        <f>'Infra Build BOQ'!AI239</f>
        <v>0</v>
      </c>
      <c r="X192" s="974">
        <f>'Infra Build BOQ'!AJ239</f>
        <v>0</v>
      </c>
      <c r="Y192" s="975">
        <f>'Infra Build BOQ'!AK239</f>
        <v>0</v>
      </c>
      <c r="Z192" s="977">
        <f>'Infra Build BOQ'!AL239</f>
        <v>0</v>
      </c>
    </row>
    <row r="193" spans="1:26" s="296" customFormat="1">
      <c r="B193" s="952">
        <f>'Master BOQ Pricing_2018-01-08'!B240</f>
        <v>16.059999999999999</v>
      </c>
      <c r="C193" s="953" t="str">
        <f>'Master BOQ Pricing_2018-01-08'!C240</f>
        <v>Bush Cutting</v>
      </c>
      <c r="D193" s="954" t="str">
        <f>'Master BOQ Pricing_2018-01-08'!D240</f>
        <v>m</v>
      </c>
      <c r="E193" s="955">
        <f>'Master BOQ Pricing_2018-01-08'!E240</f>
        <v>2.8</v>
      </c>
      <c r="F193" s="956">
        <f>'Infra Build BOQ'!F240</f>
        <v>0</v>
      </c>
      <c r="G193" s="957">
        <f>'Infra Build BOQ'!G240</f>
        <v>0</v>
      </c>
      <c r="H193" s="973">
        <f>'Infra Build BOQ'!T240</f>
        <v>0</v>
      </c>
      <c r="I193" s="974">
        <f>'Infra Build BOQ'!U240</f>
        <v>0</v>
      </c>
      <c r="J193" s="975">
        <f>'Infra Build BOQ'!V240</f>
        <v>0</v>
      </c>
      <c r="K193" s="976">
        <f>'Infra Build BOQ'!W240</f>
        <v>0</v>
      </c>
      <c r="L193" s="973">
        <f>'Infra Build BOQ'!X240</f>
        <v>0</v>
      </c>
      <c r="M193" s="974">
        <f>'Infra Build BOQ'!Y240</f>
        <v>0</v>
      </c>
      <c r="N193" s="975">
        <f>'Infra Build BOQ'!Z240</f>
        <v>0</v>
      </c>
      <c r="O193" s="976">
        <f>'Infra Build BOQ'!AA240</f>
        <v>0</v>
      </c>
      <c r="P193" s="973">
        <f>'Infra Build BOQ'!AB240</f>
        <v>0</v>
      </c>
      <c r="Q193" s="974">
        <f>'Infra Build BOQ'!AC240</f>
        <v>0</v>
      </c>
      <c r="R193" s="975">
        <f>'Infra Build BOQ'!AD240</f>
        <v>0</v>
      </c>
      <c r="S193" s="976">
        <f>'Infra Build BOQ'!AE240</f>
        <v>0</v>
      </c>
      <c r="T193" s="973">
        <f>'Infra Build BOQ'!AF240</f>
        <v>0</v>
      </c>
      <c r="U193" s="974">
        <f>'Infra Build BOQ'!AG240</f>
        <v>0</v>
      </c>
      <c r="V193" s="975">
        <f>'Infra Build BOQ'!AH240</f>
        <v>0</v>
      </c>
      <c r="W193" s="976">
        <f>'Infra Build BOQ'!AI240</f>
        <v>0</v>
      </c>
      <c r="X193" s="974">
        <f>'Infra Build BOQ'!AJ240</f>
        <v>0</v>
      </c>
      <c r="Y193" s="975">
        <f>'Infra Build BOQ'!AK240</f>
        <v>0</v>
      </c>
      <c r="Z193" s="977">
        <f>'Infra Build BOQ'!AL240</f>
        <v>0</v>
      </c>
    </row>
    <row r="194" spans="1:26" s="296" customFormat="1" ht="27.6" customHeight="1">
      <c r="B194" s="952">
        <f>'Master BOQ Pricing_2018-01-08'!B241</f>
        <v>16.07</v>
      </c>
      <c r="C194" s="953" t="str">
        <f>'Master BOQ Pricing_2018-01-08'!C241</f>
        <v>Company Contribution of 30% of The Local Labour Cost @ R250 per person/day as Requested By Local Councillors</v>
      </c>
      <c r="D194" s="954" t="str">
        <f>'Master BOQ Pricing_2018-01-08'!D241</f>
        <v>Man/day</v>
      </c>
      <c r="E194" s="955">
        <f>'Master BOQ Pricing_2018-01-08'!E241</f>
        <v>75</v>
      </c>
      <c r="F194" s="986"/>
      <c r="G194" s="987"/>
      <c r="H194" s="973">
        <f>'Infra Build BOQ'!T241</f>
        <v>0</v>
      </c>
      <c r="I194" s="974">
        <f>'Infra Build BOQ'!U241</f>
        <v>0</v>
      </c>
      <c r="J194" s="975">
        <f>'Infra Build BOQ'!V241</f>
        <v>0</v>
      </c>
      <c r="K194" s="976">
        <f>'Infra Build BOQ'!W241</f>
        <v>0</v>
      </c>
      <c r="L194" s="973">
        <f>'Infra Build BOQ'!X241</f>
        <v>0</v>
      </c>
      <c r="M194" s="974">
        <f>'Infra Build BOQ'!Y241</f>
        <v>0</v>
      </c>
      <c r="N194" s="975">
        <f>'Infra Build BOQ'!Z241</f>
        <v>0</v>
      </c>
      <c r="O194" s="976">
        <f>'Infra Build BOQ'!AA241</f>
        <v>0</v>
      </c>
      <c r="P194" s="973">
        <f>'Infra Build BOQ'!AB241</f>
        <v>0</v>
      </c>
      <c r="Q194" s="974">
        <f>'Infra Build BOQ'!AC241</f>
        <v>0</v>
      </c>
      <c r="R194" s="975">
        <f>'Infra Build BOQ'!AD241</f>
        <v>0</v>
      </c>
      <c r="S194" s="976">
        <f>'Infra Build BOQ'!AE241</f>
        <v>0</v>
      </c>
      <c r="T194" s="973">
        <f>'Infra Build BOQ'!AF241</f>
        <v>0</v>
      </c>
      <c r="U194" s="974">
        <f>'Infra Build BOQ'!AG241</f>
        <v>0</v>
      </c>
      <c r="V194" s="975">
        <f>'Infra Build BOQ'!AH241</f>
        <v>0</v>
      </c>
      <c r="W194" s="976">
        <f>'Infra Build BOQ'!AI241</f>
        <v>0</v>
      </c>
      <c r="X194" s="974">
        <f>'Infra Build BOQ'!AJ241</f>
        <v>0</v>
      </c>
      <c r="Y194" s="975">
        <f>'Infra Build BOQ'!AK241</f>
        <v>0</v>
      </c>
      <c r="Z194" s="977">
        <f>'Infra Build BOQ'!AL241</f>
        <v>0</v>
      </c>
    </row>
    <row r="195" spans="1:26" s="296" customFormat="1" ht="27.6" customHeight="1">
      <c r="B195" s="952" t="str">
        <f>'Master BOQ Pricing_2018-01-08'!B242</f>
        <v>16.07.1</v>
      </c>
      <c r="C195" s="953" t="str">
        <f>'Master BOQ Pricing_2018-01-08'!C242</f>
        <v>Link Africa Contribution of 30% of The Local CLO Cost @ R500 per person/day as Requested By Local Councillors</v>
      </c>
      <c r="D195" s="954" t="str">
        <f>'Master BOQ Pricing_2018-01-08'!D242</f>
        <v>Man/day</v>
      </c>
      <c r="E195" s="955">
        <f>'Master BOQ Pricing_2018-01-08'!E242</f>
        <v>150</v>
      </c>
      <c r="F195" s="986"/>
      <c r="G195" s="987"/>
      <c r="H195" s="973">
        <f>'Infra Build BOQ'!T242</f>
        <v>0</v>
      </c>
      <c r="I195" s="974">
        <f>'Infra Build BOQ'!U242</f>
        <v>0</v>
      </c>
      <c r="J195" s="975">
        <f>'Infra Build BOQ'!V242</f>
        <v>0</v>
      </c>
      <c r="K195" s="976">
        <f>'Infra Build BOQ'!W242</f>
        <v>0</v>
      </c>
      <c r="L195" s="973">
        <f>'Infra Build BOQ'!X242</f>
        <v>0</v>
      </c>
      <c r="M195" s="974">
        <f>'Infra Build BOQ'!Y242</f>
        <v>0</v>
      </c>
      <c r="N195" s="975">
        <f>'Infra Build BOQ'!Z242</f>
        <v>0</v>
      </c>
      <c r="O195" s="976">
        <f>'Infra Build BOQ'!AA242</f>
        <v>0</v>
      </c>
      <c r="P195" s="973">
        <f>'Infra Build BOQ'!AB242</f>
        <v>0</v>
      </c>
      <c r="Q195" s="974">
        <f>'Infra Build BOQ'!AC242</f>
        <v>0</v>
      </c>
      <c r="R195" s="975">
        <f>'Infra Build BOQ'!AD242</f>
        <v>0</v>
      </c>
      <c r="S195" s="976">
        <f>'Infra Build BOQ'!AE242</f>
        <v>0</v>
      </c>
      <c r="T195" s="973">
        <f>'Infra Build BOQ'!AF242</f>
        <v>0</v>
      </c>
      <c r="U195" s="974">
        <f>'Infra Build BOQ'!AG242</f>
        <v>0</v>
      </c>
      <c r="V195" s="975">
        <f>'Infra Build BOQ'!AH242</f>
        <v>0</v>
      </c>
      <c r="W195" s="976">
        <f>'Infra Build BOQ'!AI242</f>
        <v>0</v>
      </c>
      <c r="X195" s="974">
        <f>'Infra Build BOQ'!AJ242</f>
        <v>0</v>
      </c>
      <c r="Y195" s="975">
        <f>'Infra Build BOQ'!AK242</f>
        <v>0</v>
      </c>
      <c r="Z195" s="977">
        <f>'Infra Build BOQ'!AL242</f>
        <v>0</v>
      </c>
    </row>
    <row r="196" spans="1:26" s="296" customFormat="1" ht="27.6" customHeight="1">
      <c r="B196" s="952">
        <f>'Master BOQ Pricing_2018-01-08'!B243</f>
        <v>16.079999999999998</v>
      </c>
      <c r="C196" s="953" t="str">
        <f>'Master BOQ Pricing_2018-01-08'!C243</f>
        <v>Abseiling</v>
      </c>
      <c r="D196" s="954" t="str">
        <f>'Master BOQ Pricing_2018-01-08'!D243</f>
        <v>per day</v>
      </c>
      <c r="E196" s="955">
        <f>'Master BOQ Pricing_2018-01-08'!E243</f>
        <v>4500</v>
      </c>
      <c r="F196" s="956">
        <f>'Infra Build BOQ'!F243</f>
        <v>0</v>
      </c>
      <c r="G196" s="957">
        <f>'Infra Build BOQ'!G243</f>
        <v>0</v>
      </c>
      <c r="H196" s="973">
        <f>'Infra Build BOQ'!T243</f>
        <v>0</v>
      </c>
      <c r="I196" s="974">
        <f>'Infra Build BOQ'!U243</f>
        <v>0</v>
      </c>
      <c r="J196" s="975">
        <f>'Infra Build BOQ'!V243</f>
        <v>0</v>
      </c>
      <c r="K196" s="976">
        <f>'Infra Build BOQ'!W243</f>
        <v>0</v>
      </c>
      <c r="L196" s="973">
        <f>'Infra Build BOQ'!X243</f>
        <v>0</v>
      </c>
      <c r="M196" s="974">
        <f>'Infra Build BOQ'!Y243</f>
        <v>0</v>
      </c>
      <c r="N196" s="975">
        <f>'Infra Build BOQ'!Z243</f>
        <v>0</v>
      </c>
      <c r="O196" s="976">
        <f>'Infra Build BOQ'!AA243</f>
        <v>0</v>
      </c>
      <c r="P196" s="973">
        <f>'Infra Build BOQ'!AB243</f>
        <v>0</v>
      </c>
      <c r="Q196" s="974">
        <f>'Infra Build BOQ'!AC243</f>
        <v>0</v>
      </c>
      <c r="R196" s="975">
        <f>'Infra Build BOQ'!AD243</f>
        <v>0</v>
      </c>
      <c r="S196" s="976">
        <f>'Infra Build BOQ'!AE243</f>
        <v>0</v>
      </c>
      <c r="T196" s="973">
        <f>'Infra Build BOQ'!AF243</f>
        <v>0</v>
      </c>
      <c r="U196" s="974">
        <f>'Infra Build BOQ'!AG243</f>
        <v>0</v>
      </c>
      <c r="V196" s="975">
        <f>'Infra Build BOQ'!AH243</f>
        <v>0</v>
      </c>
      <c r="W196" s="976">
        <f>'Infra Build BOQ'!AI243</f>
        <v>0</v>
      </c>
      <c r="X196" s="974">
        <f>'Infra Build BOQ'!AJ243</f>
        <v>0</v>
      </c>
      <c r="Y196" s="975">
        <f>'Infra Build BOQ'!AK243</f>
        <v>0</v>
      </c>
      <c r="Z196" s="977">
        <f>'Infra Build BOQ'!AL243</f>
        <v>0</v>
      </c>
    </row>
    <row r="197" spans="1:26" s="296" customFormat="1" ht="27.6" customHeight="1">
      <c r="B197" s="952">
        <f>'Master BOQ Pricing_2018-01-08'!B244</f>
        <v>16.09</v>
      </c>
      <c r="C197" s="953" t="str">
        <f>'Master BOQ Pricing_2018-01-08'!C244</f>
        <v>Cherry Picker (Quote)</v>
      </c>
      <c r="D197" s="954" t="str">
        <f>'Master BOQ Pricing_2018-01-08'!D244</f>
        <v>per day</v>
      </c>
      <c r="E197" s="955">
        <f>'Master BOQ Pricing_2018-01-08'!E244</f>
        <v>0</v>
      </c>
      <c r="F197" s="956">
        <f>'Infra Build BOQ'!F244</f>
        <v>0</v>
      </c>
      <c r="G197" s="957">
        <f>'Infra Build BOQ'!G244</f>
        <v>0</v>
      </c>
      <c r="H197" s="973">
        <f>'Infra Build BOQ'!T244</f>
        <v>0</v>
      </c>
      <c r="I197" s="974">
        <f>'Infra Build BOQ'!U244</f>
        <v>0</v>
      </c>
      <c r="J197" s="975">
        <f>'Infra Build BOQ'!V244</f>
        <v>0</v>
      </c>
      <c r="K197" s="976">
        <f>'Infra Build BOQ'!W244</f>
        <v>0</v>
      </c>
      <c r="L197" s="973">
        <f>'Infra Build BOQ'!X244</f>
        <v>0</v>
      </c>
      <c r="M197" s="974">
        <f>'Infra Build BOQ'!Y244</f>
        <v>0</v>
      </c>
      <c r="N197" s="975">
        <f>'Infra Build BOQ'!Z244</f>
        <v>0</v>
      </c>
      <c r="O197" s="976">
        <f>'Infra Build BOQ'!AA244</f>
        <v>0</v>
      </c>
      <c r="P197" s="973">
        <f>'Infra Build BOQ'!AB244</f>
        <v>0</v>
      </c>
      <c r="Q197" s="974">
        <f>'Infra Build BOQ'!AC244</f>
        <v>0</v>
      </c>
      <c r="R197" s="975">
        <f>'Infra Build BOQ'!AD244</f>
        <v>0</v>
      </c>
      <c r="S197" s="976">
        <f>'Infra Build BOQ'!AE244</f>
        <v>0</v>
      </c>
      <c r="T197" s="973">
        <f>'Infra Build BOQ'!AF244</f>
        <v>0</v>
      </c>
      <c r="U197" s="974">
        <f>'Infra Build BOQ'!AG244</f>
        <v>0</v>
      </c>
      <c r="V197" s="975">
        <f>'Infra Build BOQ'!AH244</f>
        <v>0</v>
      </c>
      <c r="W197" s="976">
        <f>'Infra Build BOQ'!AI244</f>
        <v>0</v>
      </c>
      <c r="X197" s="974">
        <f>'Infra Build BOQ'!AJ244</f>
        <v>0</v>
      </c>
      <c r="Y197" s="975">
        <f>'Infra Build BOQ'!AK244</f>
        <v>0</v>
      </c>
      <c r="Z197" s="977">
        <f>'Infra Build BOQ'!AL244</f>
        <v>0</v>
      </c>
    </row>
    <row r="198" spans="1:26" s="296" customFormat="1" ht="28.05" customHeight="1" thickBot="1">
      <c r="B198" s="588">
        <f>'Master BOQ Pricing_2018-01-08'!B245</f>
        <v>16.100000000000001</v>
      </c>
      <c r="C198" s="993" t="str">
        <f>'Master BOQ Pricing_2018-01-08'!C245</f>
        <v>Full Turnkey Drop Cable installation by Contractor in Connected Building</v>
      </c>
      <c r="D198" s="589" t="str">
        <f>'Master BOQ Pricing_2018-01-08'!D245</f>
        <v>Per Drop</v>
      </c>
      <c r="E198" s="590">
        <f>'Master BOQ Pricing_2018-01-08'!E245</f>
        <v>9480</v>
      </c>
      <c r="F198" s="596">
        <f>'Infra Build BOQ'!F245</f>
        <v>0</v>
      </c>
      <c r="G198" s="597">
        <f>'Infra Build BOQ'!G245</f>
        <v>0</v>
      </c>
      <c r="H198" s="591">
        <f>'Infra Build BOQ'!T245</f>
        <v>0</v>
      </c>
      <c r="I198" s="592">
        <f>'Infra Build BOQ'!U245</f>
        <v>0</v>
      </c>
      <c r="J198" s="593">
        <f>'Infra Build BOQ'!V245</f>
        <v>0</v>
      </c>
      <c r="K198" s="594">
        <f>'Infra Build BOQ'!W245</f>
        <v>0</v>
      </c>
      <c r="L198" s="591">
        <f>'Infra Build BOQ'!X245</f>
        <v>0</v>
      </c>
      <c r="M198" s="592">
        <f>'Infra Build BOQ'!Y245</f>
        <v>0</v>
      </c>
      <c r="N198" s="593">
        <f>'Infra Build BOQ'!Z245</f>
        <v>0</v>
      </c>
      <c r="O198" s="594">
        <f>'Infra Build BOQ'!AA245</f>
        <v>0</v>
      </c>
      <c r="P198" s="591">
        <f>'Infra Build BOQ'!AB245</f>
        <v>0</v>
      </c>
      <c r="Q198" s="592">
        <f>'Infra Build BOQ'!AC245</f>
        <v>0</v>
      </c>
      <c r="R198" s="593">
        <f>'Infra Build BOQ'!AD245</f>
        <v>0</v>
      </c>
      <c r="S198" s="594">
        <f>'Infra Build BOQ'!AE245</f>
        <v>0</v>
      </c>
      <c r="T198" s="591">
        <f>'Infra Build BOQ'!AF245</f>
        <v>0</v>
      </c>
      <c r="U198" s="592">
        <f>'Infra Build BOQ'!AG245</f>
        <v>0</v>
      </c>
      <c r="V198" s="593">
        <f>'Infra Build BOQ'!AH245</f>
        <v>0</v>
      </c>
      <c r="W198" s="594">
        <f>'Infra Build BOQ'!AI245</f>
        <v>0</v>
      </c>
      <c r="X198" s="592">
        <f>'Infra Build BOQ'!AJ245</f>
        <v>0</v>
      </c>
      <c r="Y198" s="593">
        <f>'Infra Build BOQ'!AK245</f>
        <v>0</v>
      </c>
      <c r="Z198" s="595">
        <f>'Infra Build BOQ'!AL245</f>
        <v>0</v>
      </c>
    </row>
    <row r="199" spans="1:26" s="149" customFormat="1" ht="18.600000000000001" thickBot="1">
      <c r="B199" s="145"/>
      <c r="C199" s="161"/>
      <c r="D199" s="145"/>
      <c r="E199" s="144" t="s">
        <v>5</v>
      </c>
      <c r="F199" s="174"/>
      <c r="G199" s="146">
        <f>SUM(G13:G198)</f>
        <v>2528.67</v>
      </c>
      <c r="H199" s="145"/>
      <c r="I199" s="147"/>
      <c r="J199" s="148">
        <f>SUM(J13:J198)</f>
        <v>2528.67</v>
      </c>
      <c r="K199" s="145"/>
      <c r="L199" s="145"/>
      <c r="M199" s="147"/>
      <c r="N199" s="148">
        <f>SUM(N13:N198)</f>
        <v>2528.67</v>
      </c>
      <c r="R199" s="150">
        <f>SUM(R13:R198)</f>
        <v>2528.67</v>
      </c>
      <c r="V199" s="150">
        <f>SUM(V13:V198)</f>
        <v>2528.67</v>
      </c>
      <c r="Y199" s="150">
        <f>SUM(Y13:Y198)</f>
        <v>0</v>
      </c>
    </row>
    <row r="200" spans="1:26" s="151" customFormat="1" ht="14.4" thickTop="1">
      <c r="B200" s="5"/>
      <c r="C200" s="6"/>
      <c r="D200" s="5"/>
      <c r="E200" s="7"/>
      <c r="F200" s="175"/>
      <c r="G200" s="5"/>
      <c r="H200" s="5"/>
      <c r="I200" s="5"/>
      <c r="J200" s="52"/>
      <c r="K200" s="5"/>
    </row>
    <row r="201" spans="1:26" s="151" customFormat="1" ht="14.4">
      <c r="A201" s="152"/>
      <c r="B201" s="152"/>
      <c r="C201" s="152"/>
      <c r="D201" s="152"/>
      <c r="E201" s="152"/>
      <c r="F201" s="176"/>
      <c r="G201" s="152"/>
      <c r="H201" s="154" t="s">
        <v>220</v>
      </c>
      <c r="I201" s="154"/>
      <c r="J201" s="155">
        <f>J199-G199</f>
        <v>0</v>
      </c>
      <c r="K201" s="154"/>
      <c r="L201" s="154" t="s">
        <v>222</v>
      </c>
      <c r="M201" s="154"/>
      <c r="N201" s="155">
        <f>N199-J199</f>
        <v>0</v>
      </c>
      <c r="O201" s="154"/>
      <c r="P201" s="154" t="s">
        <v>224</v>
      </c>
      <c r="Q201" s="154"/>
      <c r="R201" s="155">
        <f>R199-N199</f>
        <v>0</v>
      </c>
      <c r="S201" s="154"/>
      <c r="T201" s="154" t="s">
        <v>226</v>
      </c>
      <c r="U201" s="154"/>
      <c r="V201" s="155">
        <f>V199-R199</f>
        <v>0</v>
      </c>
      <c r="W201" s="154"/>
      <c r="X201" s="154" t="s">
        <v>228</v>
      </c>
      <c r="Y201" s="155">
        <f>Y199-G199</f>
        <v>-2528.67</v>
      </c>
    </row>
    <row r="202" spans="1:26" s="158" customFormat="1" ht="18">
      <c r="A202" s="162"/>
      <c r="B202" s="162"/>
      <c r="C202" s="156"/>
      <c r="D202" s="156"/>
      <c r="E202" s="156"/>
      <c r="F202" s="156"/>
      <c r="G202" s="177"/>
      <c r="H202" s="154" t="s">
        <v>221</v>
      </c>
      <c r="I202" s="154"/>
      <c r="J202" s="157">
        <f>J201/G199</f>
        <v>0</v>
      </c>
      <c r="K202" s="154"/>
      <c r="L202" s="154" t="s">
        <v>223</v>
      </c>
      <c r="M202" s="154"/>
      <c r="N202" s="157">
        <f>N201/J199</f>
        <v>0</v>
      </c>
      <c r="O202" s="154"/>
      <c r="P202" s="154" t="s">
        <v>225</v>
      </c>
      <c r="Q202" s="154"/>
      <c r="R202" s="157">
        <f>R201/N199</f>
        <v>0</v>
      </c>
      <c r="S202" s="154"/>
      <c r="T202" s="154" t="s">
        <v>227</v>
      </c>
      <c r="U202" s="154"/>
      <c r="V202" s="157">
        <f>V201/R199</f>
        <v>0</v>
      </c>
      <c r="W202" s="154"/>
      <c r="X202" s="154" t="s">
        <v>229</v>
      </c>
      <c r="Y202" s="157">
        <f>Y201/G199</f>
        <v>-1</v>
      </c>
    </row>
    <row r="203" spans="1:26" s="10" customFormat="1" ht="18">
      <c r="A203" s="20"/>
      <c r="B203" s="20"/>
      <c r="C203" s="20"/>
      <c r="D203" s="20"/>
      <c r="E203" s="20"/>
      <c r="F203" s="21"/>
      <c r="G203" s="20"/>
      <c r="H203" s="20"/>
      <c r="I203" s="20"/>
    </row>
    <row r="204" spans="1:26" ht="18">
      <c r="A204" s="10"/>
      <c r="B204" s="10"/>
      <c r="C204" s="11"/>
      <c r="D204" s="11"/>
      <c r="E204" s="11"/>
      <c r="F204" s="22"/>
      <c r="G204" s="12"/>
      <c r="H204" s="10"/>
      <c r="I204" s="10"/>
    </row>
    <row r="205" spans="1:26" ht="18">
      <c r="A205" s="10"/>
      <c r="B205" s="10"/>
      <c r="C205" s="11"/>
      <c r="D205" s="1188"/>
      <c r="E205" s="1188"/>
      <c r="F205" s="1188"/>
      <c r="G205" s="12"/>
      <c r="H205" s="10"/>
      <c r="I205" s="10"/>
    </row>
    <row r="206" spans="1:26" ht="18">
      <c r="A206" s="10"/>
      <c r="B206" s="10"/>
      <c r="C206" s="11"/>
      <c r="D206" s="1188"/>
      <c r="E206" s="1188"/>
      <c r="F206" s="1188"/>
      <c r="G206" s="12"/>
      <c r="H206" s="10"/>
      <c r="I206" s="10"/>
    </row>
  </sheetData>
  <sheetProtection algorithmName="SHA-512" hashValue="TUZ/+tS48t1qbPQ9rCe3y87OSKgcd3gpZ2yOEaMxPnn50K/XVP0KTUy4tN/yg8z13aZcn+Nd0fl/UgAJcptPpA==" saltValue="RoR4sWG9rsjtiszX6RurUw==" spinCount="100000" sheet="1" formatCells="0" formatColumns="0" formatRows="0" insertHyperlinks="0" sort="0" autoFilter="0" pivotTables="0"/>
  <autoFilter ref="B12:Z12" xr:uid="{00000000-0009-0000-0000-00000B000000}"/>
  <mergeCells count="17">
    <mergeCell ref="H11:Z11"/>
    <mergeCell ref="D3:E3"/>
    <mergeCell ref="D4:E4"/>
    <mergeCell ref="H2:Z2"/>
    <mergeCell ref="F3:G3"/>
    <mergeCell ref="H3:Z10"/>
    <mergeCell ref="F4:G4"/>
    <mergeCell ref="F5:G5"/>
    <mergeCell ref="F6:G6"/>
    <mergeCell ref="D5:E5"/>
    <mergeCell ref="D6:E6"/>
    <mergeCell ref="D205:F205"/>
    <mergeCell ref="D206:F206"/>
    <mergeCell ref="B2:G2"/>
    <mergeCell ref="F8:G8"/>
    <mergeCell ref="F9:G9"/>
    <mergeCell ref="B11:G11"/>
  </mergeCells>
  <pageMargins left="0.31496062992125984" right="0.31496062992125984" top="0.74803149606299213" bottom="0.74803149606299213" header="0.31496062992125984" footer="0.31496062992125984"/>
  <pageSetup paperSize="9" scale="25" fitToHeight="7" orientation="landscape" horizontalDpi="4294967293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F0"/>
  </sheetPr>
  <dimension ref="A1:Z39"/>
  <sheetViews>
    <sheetView showGridLines="0" zoomScale="80" zoomScaleNormal="80" workbookViewId="0">
      <selection activeCell="Y35" sqref="Y35"/>
    </sheetView>
  </sheetViews>
  <sheetFormatPr defaultColWidth="4.44140625" defaultRowHeight="13.8"/>
  <cols>
    <col min="1" max="1" width="4.88671875" style="20" customWidth="1"/>
    <col min="2" max="2" width="25.109375" style="20" customWidth="1"/>
    <col min="3" max="3" width="94.33203125" style="20" customWidth="1"/>
    <col min="4" max="4" width="17.33203125" style="20" customWidth="1"/>
    <col min="5" max="5" width="12.6640625" style="20" customWidth="1"/>
    <col min="6" max="6" width="18.77734375" style="20" customWidth="1"/>
    <col min="7" max="7" width="22.77734375" style="20" customWidth="1"/>
    <col min="8" max="8" width="16" style="20" customWidth="1"/>
    <col min="9" max="9" width="18.77734375" style="20" customWidth="1"/>
    <col min="10" max="10" width="22.77734375" style="20" customWidth="1"/>
    <col min="11" max="11" width="20.77734375" style="20" customWidth="1"/>
    <col min="12" max="12" width="16" style="20" customWidth="1"/>
    <col min="13" max="13" width="18.77734375" style="20" customWidth="1"/>
    <col min="14" max="14" width="22.77734375" style="20" customWidth="1"/>
    <col min="15" max="15" width="20.77734375" style="20" customWidth="1"/>
    <col min="16" max="16" width="16" style="20" customWidth="1"/>
    <col min="17" max="17" width="18.77734375" style="20" customWidth="1"/>
    <col min="18" max="18" width="22.77734375" style="20" customWidth="1"/>
    <col min="19" max="19" width="20.77734375" style="20" customWidth="1"/>
    <col min="20" max="20" width="16" style="20" customWidth="1"/>
    <col min="21" max="21" width="18.77734375" style="20" customWidth="1"/>
    <col min="22" max="22" width="22.77734375" style="20" customWidth="1"/>
    <col min="23" max="23" width="20.77734375" style="20" customWidth="1"/>
    <col min="24" max="24" width="18.77734375" style="20" customWidth="1"/>
    <col min="25" max="25" width="22.77734375" style="20" customWidth="1"/>
    <col min="26" max="26" width="20.77734375" style="20" customWidth="1"/>
    <col min="27" max="16384" width="4.44140625" style="20"/>
  </cols>
  <sheetData>
    <row r="1" spans="1:26" ht="16.2" thickBot="1">
      <c r="A1" s="25" t="s">
        <v>117</v>
      </c>
      <c r="B1" s="26" t="str">
        <f>'Master BOQ Pricing_2018-01-08'!B1</f>
        <v>To Be viewed in conjunction with BOS_000-MS-BO-010 Rev 5</v>
      </c>
      <c r="C1" s="27"/>
      <c r="D1" s="27"/>
      <c r="E1" s="27"/>
      <c r="F1" s="27"/>
      <c r="G1" s="27"/>
      <c r="H1" s="27"/>
    </row>
    <row r="2" spans="1:26" ht="21" thickBot="1">
      <c r="A2" s="27"/>
      <c r="B2" s="1133" t="str">
        <f>'Infra Build BOQ'!B2:I2</f>
        <v>77K0057591  /  77K0057591</v>
      </c>
      <c r="C2" s="1134"/>
      <c r="D2" s="1134"/>
      <c r="E2" s="1134"/>
      <c r="F2" s="1134"/>
      <c r="G2" s="1134"/>
      <c r="H2" s="1098"/>
      <c r="I2" s="1099"/>
      <c r="J2" s="1099"/>
      <c r="K2" s="1099"/>
      <c r="L2" s="1099"/>
      <c r="M2" s="1099"/>
      <c r="N2" s="1099"/>
      <c r="O2" s="1099"/>
      <c r="P2" s="1099"/>
      <c r="Q2" s="1099"/>
      <c r="R2" s="1099"/>
      <c r="S2" s="1099"/>
      <c r="T2" s="1099"/>
      <c r="U2" s="1099"/>
      <c r="V2" s="1099"/>
      <c r="W2" s="1099"/>
      <c r="X2" s="1099"/>
      <c r="Y2" s="1099"/>
      <c r="Z2" s="1100"/>
    </row>
    <row r="3" spans="1:26" ht="15.6">
      <c r="A3" s="27"/>
      <c r="B3" s="88" t="s">
        <v>1</v>
      </c>
      <c r="C3" s="178" t="str">
        <f>CONCATENATE('EXE Dashboard'!C4,"  /  ",'EXE Dashboard'!C5)</f>
        <v>77K0057591  /  77K0057591</v>
      </c>
      <c r="D3" s="1142" t="s">
        <v>362</v>
      </c>
      <c r="E3" s="1191"/>
      <c r="F3" s="1112">
        <f>'Infra Build BOQ'!F3</f>
        <v>0</v>
      </c>
      <c r="G3" s="1112"/>
      <c r="H3" s="1193" t="s">
        <v>279</v>
      </c>
      <c r="I3" s="1102"/>
      <c r="J3" s="1102"/>
      <c r="K3" s="1102"/>
      <c r="L3" s="1102"/>
      <c r="M3" s="1102"/>
      <c r="N3" s="1102"/>
      <c r="O3" s="1102"/>
      <c r="P3" s="1102"/>
      <c r="Q3" s="1102"/>
      <c r="R3" s="1102"/>
      <c r="S3" s="1102"/>
      <c r="T3" s="1102"/>
      <c r="U3" s="1102"/>
      <c r="V3" s="1102"/>
      <c r="W3" s="1102"/>
      <c r="X3" s="1102"/>
      <c r="Y3" s="1102"/>
      <c r="Z3" s="1103"/>
    </row>
    <row r="4" spans="1:26" ht="16.5" customHeight="1">
      <c r="A4" s="27"/>
      <c r="B4" s="89" t="s">
        <v>0</v>
      </c>
      <c r="C4" s="449" t="str">
        <f>'Infra Build BOQ'!C4</f>
        <v xml:space="preserve">Eletronic Communications Network (Pty) Ltd </v>
      </c>
      <c r="D4" s="1144" t="s">
        <v>2</v>
      </c>
      <c r="E4" s="1192"/>
      <c r="F4" s="1114" t="str">
        <f>'Infra Build BOQ'!F4</f>
        <v>Ethekwini</v>
      </c>
      <c r="G4" s="1116"/>
      <c r="H4" s="1194"/>
      <c r="I4" s="1104"/>
      <c r="J4" s="1104"/>
      <c r="K4" s="1104"/>
      <c r="L4" s="1104"/>
      <c r="M4" s="1104"/>
      <c r="N4" s="1104"/>
      <c r="O4" s="1104"/>
      <c r="P4" s="1104"/>
      <c r="Q4" s="1104"/>
      <c r="R4" s="1104"/>
      <c r="S4" s="1104"/>
      <c r="T4" s="1104"/>
      <c r="U4" s="1104"/>
      <c r="V4" s="1104"/>
      <c r="W4" s="1104"/>
      <c r="X4" s="1104"/>
      <c r="Y4" s="1104"/>
      <c r="Z4" s="1105"/>
    </row>
    <row r="5" spans="1:26" ht="16.5" customHeight="1">
      <c r="A5" s="27"/>
      <c r="B5" s="90" t="s">
        <v>437</v>
      </c>
      <c r="C5" s="449">
        <f>'MATERIAL REQUEST'!C4</f>
        <v>0</v>
      </c>
      <c r="D5" s="1144" t="s">
        <v>3</v>
      </c>
      <c r="E5" s="1192"/>
      <c r="F5" s="1117" t="str">
        <f>'Infra Build BOQ'!F5</f>
        <v>Date: 2023/08/25</v>
      </c>
      <c r="G5" s="1119"/>
      <c r="H5" s="1194"/>
      <c r="I5" s="1104"/>
      <c r="J5" s="1104"/>
      <c r="K5" s="1104"/>
      <c r="L5" s="1104"/>
      <c r="M5" s="1104"/>
      <c r="N5" s="1104"/>
      <c r="O5" s="1104"/>
      <c r="P5" s="1104"/>
      <c r="Q5" s="1104"/>
      <c r="R5" s="1104"/>
      <c r="S5" s="1104"/>
      <c r="T5" s="1104"/>
      <c r="U5" s="1104"/>
      <c r="V5" s="1104"/>
      <c r="W5" s="1104"/>
      <c r="X5" s="1104"/>
      <c r="Y5" s="1104"/>
      <c r="Z5" s="1105"/>
    </row>
    <row r="6" spans="1:26" ht="33" customHeight="1" thickBot="1">
      <c r="A6" s="27"/>
      <c r="B6" s="90" t="s">
        <v>230</v>
      </c>
      <c r="C6" s="450" t="s">
        <v>465</v>
      </c>
      <c r="D6" s="1144" t="s">
        <v>361</v>
      </c>
      <c r="E6" s="1192"/>
      <c r="F6" s="1148" t="str">
        <f>'Infra Build BOQ'!F6</f>
        <v>Phoenix Industrial Access PoP - ECN - Roots Dube Village</v>
      </c>
      <c r="G6" s="1149"/>
      <c r="H6" s="1194"/>
      <c r="I6" s="1104"/>
      <c r="J6" s="1104"/>
      <c r="K6" s="1104"/>
      <c r="L6" s="1104"/>
      <c r="M6" s="1104"/>
      <c r="N6" s="1104"/>
      <c r="O6" s="1104"/>
      <c r="P6" s="1104"/>
      <c r="Q6" s="1104"/>
      <c r="R6" s="1104"/>
      <c r="S6" s="1104"/>
      <c r="T6" s="1104"/>
      <c r="U6" s="1104"/>
      <c r="V6" s="1104"/>
      <c r="W6" s="1104"/>
      <c r="X6" s="1104"/>
      <c r="Y6" s="1104"/>
      <c r="Z6" s="1105"/>
    </row>
    <row r="7" spans="1:26" ht="17.25" customHeight="1" thickBot="1">
      <c r="A7" s="27"/>
      <c r="B7" s="128" t="s">
        <v>118</v>
      </c>
      <c r="C7" s="129"/>
      <c r="D7" s="130"/>
      <c r="E7" s="130"/>
      <c r="F7" s="131"/>
      <c r="G7" s="131"/>
      <c r="H7" s="1194"/>
      <c r="I7" s="1104"/>
      <c r="J7" s="1104"/>
      <c r="K7" s="1104"/>
      <c r="L7" s="1104"/>
      <c r="M7" s="1104"/>
      <c r="N7" s="1104"/>
      <c r="O7" s="1104"/>
      <c r="P7" s="1104"/>
      <c r="Q7" s="1104"/>
      <c r="R7" s="1104"/>
      <c r="S7" s="1104"/>
      <c r="T7" s="1104"/>
      <c r="U7" s="1104"/>
      <c r="V7" s="1104"/>
      <c r="W7" s="1104"/>
      <c r="X7" s="1104"/>
      <c r="Y7" s="1104"/>
      <c r="Z7" s="1105"/>
    </row>
    <row r="8" spans="1:26" ht="17.25" customHeight="1" thickBot="1">
      <c r="A8" s="27"/>
      <c r="B8" s="128"/>
      <c r="C8" s="129"/>
      <c r="D8" s="130"/>
      <c r="E8" s="130"/>
      <c r="F8" s="1087"/>
      <c r="G8" s="1087"/>
      <c r="H8" s="1194"/>
      <c r="I8" s="1104"/>
      <c r="J8" s="1104"/>
      <c r="K8" s="1104"/>
      <c r="L8" s="1104"/>
      <c r="M8" s="1104"/>
      <c r="N8" s="1104"/>
      <c r="O8" s="1104"/>
      <c r="P8" s="1104"/>
      <c r="Q8" s="1104"/>
      <c r="R8" s="1104"/>
      <c r="S8" s="1104"/>
      <c r="T8" s="1104"/>
      <c r="U8" s="1104"/>
      <c r="V8" s="1104"/>
      <c r="W8" s="1104"/>
      <c r="X8" s="1104"/>
      <c r="Y8" s="1104"/>
      <c r="Z8" s="1105"/>
    </row>
    <row r="9" spans="1:26" ht="17.25" customHeight="1" thickBot="1">
      <c r="A9" s="27"/>
      <c r="B9" s="128"/>
      <c r="C9" s="129"/>
      <c r="D9" s="130"/>
      <c r="E9" s="130"/>
      <c r="F9" s="1087"/>
      <c r="G9" s="1087"/>
      <c r="H9" s="1194"/>
      <c r="I9" s="1104"/>
      <c r="J9" s="1104"/>
      <c r="K9" s="1104"/>
      <c r="L9" s="1104"/>
      <c r="M9" s="1104"/>
      <c r="N9" s="1104"/>
      <c r="O9" s="1104"/>
      <c r="P9" s="1104"/>
      <c r="Q9" s="1104"/>
      <c r="R9" s="1104"/>
      <c r="S9" s="1104"/>
      <c r="T9" s="1104"/>
      <c r="U9" s="1104"/>
      <c r="V9" s="1104"/>
      <c r="W9" s="1104"/>
      <c r="X9" s="1104"/>
      <c r="Y9" s="1104"/>
      <c r="Z9" s="1105"/>
    </row>
    <row r="10" spans="1:26" ht="17.25" customHeight="1" thickBot="1">
      <c r="A10" s="27"/>
      <c r="B10" s="128"/>
      <c r="C10" s="133"/>
      <c r="D10" s="130"/>
      <c r="E10" s="130"/>
      <c r="F10" s="125"/>
      <c r="G10" s="125"/>
      <c r="H10" s="1195"/>
      <c r="I10" s="1107"/>
      <c r="J10" s="1107"/>
      <c r="K10" s="1107"/>
      <c r="L10" s="1107"/>
      <c r="M10" s="1107"/>
      <c r="N10" s="1107"/>
      <c r="O10" s="1107"/>
      <c r="P10" s="1107"/>
      <c r="Q10" s="1107"/>
      <c r="R10" s="1107"/>
      <c r="S10" s="1107"/>
      <c r="T10" s="1107"/>
      <c r="U10" s="1107"/>
      <c r="V10" s="1107"/>
      <c r="W10" s="1107"/>
      <c r="X10" s="1107"/>
      <c r="Y10" s="1107"/>
      <c r="Z10" s="1108"/>
    </row>
    <row r="11" spans="1:26" ht="18.600000000000001" thickBot="1">
      <c r="A11" s="27"/>
      <c r="B11" s="1189" t="s">
        <v>280</v>
      </c>
      <c r="C11" s="1190"/>
      <c r="D11" s="1190"/>
      <c r="E11" s="1190"/>
      <c r="F11" s="1190"/>
      <c r="G11" s="1190"/>
      <c r="H11" s="1078"/>
      <c r="I11" s="1079"/>
      <c r="J11" s="1079"/>
      <c r="K11" s="1079"/>
      <c r="L11" s="1079"/>
      <c r="M11" s="1079"/>
      <c r="N11" s="1079"/>
      <c r="O11" s="1079"/>
      <c r="P11" s="1079"/>
      <c r="Q11" s="1079"/>
      <c r="R11" s="1079"/>
      <c r="S11" s="1079"/>
      <c r="T11" s="1079"/>
      <c r="U11" s="1079"/>
      <c r="V11" s="1079"/>
      <c r="W11" s="1079"/>
      <c r="X11" s="1079"/>
      <c r="Y11" s="1079"/>
      <c r="Z11" s="1101"/>
    </row>
    <row r="12" spans="1:26" ht="29.4" thickBot="1">
      <c r="B12" s="86" t="s">
        <v>63</v>
      </c>
      <c r="C12" s="3" t="s">
        <v>4</v>
      </c>
      <c r="D12" s="86" t="s">
        <v>30</v>
      </c>
      <c r="E12" s="87" t="s">
        <v>64</v>
      </c>
      <c r="F12" s="76" t="s">
        <v>275</v>
      </c>
      <c r="G12" s="53" t="s">
        <v>213</v>
      </c>
      <c r="H12" s="60" t="s">
        <v>214</v>
      </c>
      <c r="I12" s="61" t="s">
        <v>211</v>
      </c>
      <c r="J12" s="62" t="s">
        <v>65</v>
      </c>
      <c r="K12" s="63" t="s">
        <v>212</v>
      </c>
      <c r="L12" s="57" t="s">
        <v>215</v>
      </c>
      <c r="M12" s="58" t="s">
        <v>211</v>
      </c>
      <c r="N12" s="59" t="s">
        <v>65</v>
      </c>
      <c r="O12" s="64" t="s">
        <v>212</v>
      </c>
      <c r="P12" s="65" t="s">
        <v>217</v>
      </c>
      <c r="Q12" s="66" t="s">
        <v>211</v>
      </c>
      <c r="R12" s="67" t="s">
        <v>65</v>
      </c>
      <c r="S12" s="68" t="s">
        <v>212</v>
      </c>
      <c r="T12" s="54" t="s">
        <v>216</v>
      </c>
      <c r="U12" s="55" t="s">
        <v>211</v>
      </c>
      <c r="V12" s="56" t="s">
        <v>65</v>
      </c>
      <c r="W12" s="69" t="s">
        <v>212</v>
      </c>
      <c r="X12" s="70" t="s">
        <v>218</v>
      </c>
      <c r="Y12" s="71" t="s">
        <v>65</v>
      </c>
      <c r="Z12" s="72" t="s">
        <v>212</v>
      </c>
    </row>
    <row r="13" spans="1:26">
      <c r="B13" s="234">
        <f>'Master BOQ Pricing_2018-01-08'!B14</f>
        <v>1</v>
      </c>
      <c r="C13" s="79" t="str">
        <f>'Master BOQ Pricing_2018-01-08'!C14</f>
        <v>MATERIAL MANAGEMENT</v>
      </c>
      <c r="D13" s="82"/>
      <c r="E13" s="113"/>
      <c r="F13" s="102"/>
      <c r="G13" s="105"/>
      <c r="H13" s="102"/>
      <c r="I13" s="114"/>
      <c r="J13" s="115"/>
      <c r="K13" s="138"/>
      <c r="L13" s="102"/>
      <c r="M13" s="114"/>
      <c r="N13" s="115"/>
      <c r="O13" s="138"/>
      <c r="P13" s="102"/>
      <c r="Q13" s="114"/>
      <c r="R13" s="115"/>
      <c r="S13" s="138"/>
      <c r="T13" s="102"/>
      <c r="U13" s="114"/>
      <c r="V13" s="115"/>
      <c r="W13" s="138"/>
      <c r="X13" s="114"/>
      <c r="Y13" s="115"/>
      <c r="Z13" s="138"/>
    </row>
    <row r="14" spans="1:26" ht="14.4">
      <c r="B14" s="118">
        <f>'Master BOQ Pricing_2018-01-08'!B15</f>
        <v>1.1000000000000001</v>
      </c>
      <c r="C14" s="78" t="str">
        <f>'Master BOQ Pricing_2018-01-08'!C15</f>
        <v>Collect and delivery of material to Site (&gt;60km) Per Site</v>
      </c>
      <c r="D14" s="92" t="str">
        <f>'Master BOQ Pricing_2018-01-08'!D15</f>
        <v>Per Site</v>
      </c>
      <c r="E14" s="256">
        <f>'Master BOQ Pricing_2018-01-08'!E15</f>
        <v>850</v>
      </c>
      <c r="F14" s="91">
        <f>'Infra Build BOQ'!H15</f>
        <v>0</v>
      </c>
      <c r="G14" s="106">
        <f>E14*F14</f>
        <v>0</v>
      </c>
      <c r="H14" s="511"/>
      <c r="I14" s="142">
        <f>F14+H14</f>
        <v>0</v>
      </c>
      <c r="J14" s="143">
        <f>$E$14*I14</f>
        <v>0</v>
      </c>
      <c r="K14" s="287">
        <f>'Infra Build BOQ'!W15</f>
        <v>0</v>
      </c>
      <c r="L14" s="511"/>
      <c r="M14" s="142">
        <f>I14+L14</f>
        <v>0</v>
      </c>
      <c r="N14" s="143">
        <f>$E$14*M14</f>
        <v>0</v>
      </c>
      <c r="O14" s="287">
        <f>'Infra Build BOQ'!AA15</f>
        <v>0</v>
      </c>
      <c r="P14" s="511"/>
      <c r="Q14" s="142">
        <f>M14+P14</f>
        <v>0</v>
      </c>
      <c r="R14" s="143">
        <f>$E$14*Q14</f>
        <v>0</v>
      </c>
      <c r="S14" s="287">
        <f>'Infra Build BOQ'!AE15</f>
        <v>0</v>
      </c>
      <c r="T14" s="511"/>
      <c r="U14" s="142">
        <f>Q14+T14</f>
        <v>0</v>
      </c>
      <c r="V14" s="143">
        <f>$E$14*U14</f>
        <v>0</v>
      </c>
      <c r="W14" s="287">
        <f>'Infra Build BOQ'!AI15</f>
        <v>0</v>
      </c>
      <c r="X14" s="511"/>
      <c r="Y14" s="143">
        <f>$E$14*X14</f>
        <v>0</v>
      </c>
      <c r="Z14" s="533">
        <f>'Infra Build BOQ'!AL15</f>
        <v>0</v>
      </c>
    </row>
    <row r="15" spans="1:26" s="151" customFormat="1">
      <c r="B15" s="234">
        <f>'Master BOQ Pricing_2018-01-08'!B180</f>
        <v>12</v>
      </c>
      <c r="C15" s="81" t="str">
        <f>'Master BOQ Pricing_2018-01-08'!C180</f>
        <v>FOCUS INSTALLATIONS</v>
      </c>
      <c r="D15" s="82"/>
      <c r="E15" s="258"/>
      <c r="F15" s="123"/>
      <c r="G15" s="122"/>
      <c r="H15" s="123"/>
      <c r="I15" s="120"/>
      <c r="J15" s="121"/>
      <c r="K15" s="164"/>
      <c r="L15" s="123"/>
      <c r="M15" s="120"/>
      <c r="N15" s="121"/>
      <c r="O15" s="164"/>
      <c r="P15" s="123"/>
      <c r="Q15" s="120"/>
      <c r="R15" s="121"/>
      <c r="S15" s="164"/>
      <c r="T15" s="123"/>
      <c r="U15" s="120"/>
      <c r="V15" s="121"/>
      <c r="W15" s="164"/>
      <c r="X15" s="120"/>
      <c r="Y15" s="121"/>
      <c r="Z15" s="164"/>
    </row>
    <row r="16" spans="1:26" s="151" customFormat="1">
      <c r="B16" s="118">
        <f>'Master BOQ Pricing_2018-01-08'!B181</f>
        <v>12.01</v>
      </c>
      <c r="C16" s="78" t="str">
        <f>'Master BOQ Pricing_2018-01-08'!C181</f>
        <v>Sewer Manhole Wall Core drilling -120mm</v>
      </c>
      <c r="D16" s="92" t="str">
        <f>'Master BOQ Pricing_2018-01-08'!D181</f>
        <v>ea</v>
      </c>
      <c r="E16" s="256">
        <f>'Master BOQ Pricing_2018-01-08'!E181</f>
        <v>145.35</v>
      </c>
      <c r="F16" s="103"/>
      <c r="G16" s="107"/>
      <c r="H16" s="103"/>
      <c r="I16" s="135"/>
      <c r="J16" s="136"/>
      <c r="K16" s="167"/>
      <c r="L16" s="103"/>
      <c r="M16" s="135"/>
      <c r="N16" s="136"/>
      <c r="O16" s="167"/>
      <c r="P16" s="103"/>
      <c r="Q16" s="135"/>
      <c r="R16" s="136"/>
      <c r="S16" s="167"/>
      <c r="T16" s="103"/>
      <c r="U16" s="135"/>
      <c r="V16" s="136"/>
      <c r="W16" s="167"/>
      <c r="X16" s="135"/>
      <c r="Y16" s="136"/>
      <c r="Z16" s="167"/>
    </row>
    <row r="17" spans="2:26" s="151" customFormat="1">
      <c r="B17" s="118">
        <f>'Master BOQ Pricing_2018-01-08'!B182</f>
        <v>12.02</v>
      </c>
      <c r="C17" s="78" t="str">
        <f>'Master BOQ Pricing_2018-01-08'!C182</f>
        <v>Installation and pulling/Hauling of fibre optical cable (FOCUS)</v>
      </c>
      <c r="D17" s="92" t="str">
        <f>'Master BOQ Pricing_2018-01-08'!D182</f>
        <v>m</v>
      </c>
      <c r="E17" s="256">
        <f>'Master BOQ Pricing_2018-01-08'!E182</f>
        <v>9.3699999999999992</v>
      </c>
      <c r="F17" s="103"/>
      <c r="G17" s="107"/>
      <c r="H17" s="103"/>
      <c r="I17" s="135"/>
      <c r="J17" s="136"/>
      <c r="K17" s="167"/>
      <c r="L17" s="103"/>
      <c r="M17" s="135"/>
      <c r="N17" s="136"/>
      <c r="O17" s="167"/>
      <c r="P17" s="103"/>
      <c r="Q17" s="135"/>
      <c r="R17" s="136"/>
      <c r="S17" s="167"/>
      <c r="T17" s="103"/>
      <c r="U17" s="135"/>
      <c r="V17" s="136"/>
      <c r="W17" s="167"/>
      <c r="X17" s="135"/>
      <c r="Y17" s="136"/>
      <c r="Z17" s="167"/>
    </row>
    <row r="18" spans="2:26" s="151" customFormat="1">
      <c r="B18" s="118">
        <f>'Master BOQ Pricing_2018-01-08'!B183</f>
        <v>12.03</v>
      </c>
      <c r="C18" s="78" t="str">
        <f>'Master BOQ Pricing_2018-01-08'!C183</f>
        <v>Installation of Entry and Exit manifold including clips</v>
      </c>
      <c r="D18" s="92" t="str">
        <f>'Master BOQ Pricing_2018-01-08'!D183</f>
        <v>ea</v>
      </c>
      <c r="E18" s="256">
        <f>'Master BOQ Pricing_2018-01-08'!E183</f>
        <v>946.8</v>
      </c>
      <c r="F18" s="103"/>
      <c r="G18" s="107"/>
      <c r="H18" s="103"/>
      <c r="I18" s="135"/>
      <c r="J18" s="136"/>
      <c r="K18" s="167"/>
      <c r="L18" s="103"/>
      <c r="M18" s="135"/>
      <c r="N18" s="136"/>
      <c r="O18" s="167"/>
      <c r="P18" s="103"/>
      <c r="Q18" s="135"/>
      <c r="R18" s="136"/>
      <c r="S18" s="167"/>
      <c r="T18" s="103"/>
      <c r="U18" s="135"/>
      <c r="V18" s="136"/>
      <c r="W18" s="167"/>
      <c r="X18" s="135"/>
      <c r="Y18" s="136"/>
      <c r="Z18" s="167"/>
    </row>
    <row r="19" spans="2:26" s="151" customFormat="1">
      <c r="B19" s="118">
        <f>'Master BOQ Pricing_2018-01-08'!B184</f>
        <v>12.04</v>
      </c>
      <c r="C19" s="78" t="str">
        <f>'Master BOQ Pricing_2018-01-08'!C184</f>
        <v>Installation of Entry or Exit manifold including clips</v>
      </c>
      <c r="D19" s="92" t="str">
        <f>'Master BOQ Pricing_2018-01-08'!D184</f>
        <v>ea</v>
      </c>
      <c r="E19" s="256">
        <f>'Master BOQ Pricing_2018-01-08'!E184</f>
        <v>771.01</v>
      </c>
      <c r="F19" s="103"/>
      <c r="G19" s="107"/>
      <c r="H19" s="103"/>
      <c r="I19" s="135"/>
      <c r="J19" s="136"/>
      <c r="K19" s="167"/>
      <c r="L19" s="103"/>
      <c r="M19" s="135"/>
      <c r="N19" s="136"/>
      <c r="O19" s="167"/>
      <c r="P19" s="103"/>
      <c r="Q19" s="135"/>
      <c r="R19" s="136"/>
      <c r="S19" s="167"/>
      <c r="T19" s="103"/>
      <c r="U19" s="135"/>
      <c r="V19" s="136"/>
      <c r="W19" s="167"/>
      <c r="X19" s="135"/>
      <c r="Y19" s="136"/>
      <c r="Z19" s="167"/>
    </row>
    <row r="20" spans="2:26" s="151" customFormat="1">
      <c r="B20" s="118">
        <f>'Master BOQ Pricing_2018-01-08'!B185</f>
        <v>12.05</v>
      </c>
      <c r="C20" s="78" t="str">
        <f>'Master BOQ Pricing_2018-01-08'!C185</f>
        <v>Installation of Straight manifold</v>
      </c>
      <c r="D20" s="92" t="str">
        <f>'Master BOQ Pricing_2018-01-08'!D185</f>
        <v>ea</v>
      </c>
      <c r="E20" s="256">
        <f>'Master BOQ Pricing_2018-01-08'!E185</f>
        <v>682.35</v>
      </c>
      <c r="F20" s="103"/>
      <c r="G20" s="107"/>
      <c r="H20" s="103"/>
      <c r="I20" s="135"/>
      <c r="J20" s="136"/>
      <c r="K20" s="167"/>
      <c r="L20" s="103"/>
      <c r="M20" s="135"/>
      <c r="N20" s="136"/>
      <c r="O20" s="167"/>
      <c r="P20" s="103"/>
      <c r="Q20" s="135"/>
      <c r="R20" s="136"/>
      <c r="S20" s="167"/>
      <c r="T20" s="103"/>
      <c r="U20" s="135"/>
      <c r="V20" s="136"/>
      <c r="W20" s="167"/>
      <c r="X20" s="135"/>
      <c r="Y20" s="136"/>
      <c r="Z20" s="167"/>
    </row>
    <row r="21" spans="2:26" s="151" customFormat="1">
      <c r="B21" s="118">
        <f>'Master BOQ Pricing_2018-01-08'!B186</f>
        <v>12.06</v>
      </c>
      <c r="C21" s="78" t="str">
        <f>'Master BOQ Pricing_2018-01-08'!C186</f>
        <v>Repair of Benching or Manhole Floor per manhole</v>
      </c>
      <c r="D21" s="92" t="str">
        <f>'Master BOQ Pricing_2018-01-08'!D186</f>
        <v>ea</v>
      </c>
      <c r="E21" s="256">
        <f>'Master BOQ Pricing_2018-01-08'!E186</f>
        <v>276</v>
      </c>
      <c r="F21" s="103"/>
      <c r="G21" s="107"/>
      <c r="H21" s="103"/>
      <c r="I21" s="135"/>
      <c r="J21" s="136"/>
      <c r="K21" s="167"/>
      <c r="L21" s="103"/>
      <c r="M21" s="135"/>
      <c r="N21" s="136"/>
      <c r="O21" s="167"/>
      <c r="P21" s="103"/>
      <c r="Q21" s="135"/>
      <c r="R21" s="136"/>
      <c r="S21" s="167"/>
      <c r="T21" s="103"/>
      <c r="U21" s="135"/>
      <c r="V21" s="136"/>
      <c r="W21" s="167"/>
      <c r="X21" s="135"/>
      <c r="Y21" s="136"/>
      <c r="Z21" s="167"/>
    </row>
    <row r="22" spans="2:26" s="151" customFormat="1">
      <c r="B22" s="118">
        <f>'Master BOQ Pricing_2018-01-08'!B187</f>
        <v>12.07</v>
      </c>
      <c r="C22" s="78" t="str">
        <f>'Master BOQ Pricing_2018-01-08'!C187</f>
        <v>Storm water Slot Cutting</v>
      </c>
      <c r="D22" s="92" t="str">
        <f>'Master BOQ Pricing_2018-01-08'!D187</f>
        <v>ea</v>
      </c>
      <c r="E22" s="256">
        <f>'Master BOQ Pricing_2018-01-08'!E187</f>
        <v>425.96</v>
      </c>
      <c r="F22" s="103"/>
      <c r="G22" s="107"/>
      <c r="H22" s="103"/>
      <c r="I22" s="135"/>
      <c r="J22" s="136"/>
      <c r="K22" s="167"/>
      <c r="L22" s="103"/>
      <c r="M22" s="135"/>
      <c r="N22" s="136"/>
      <c r="O22" s="167"/>
      <c r="P22" s="103"/>
      <c r="Q22" s="135"/>
      <c r="R22" s="136"/>
      <c r="S22" s="167"/>
      <c r="T22" s="103"/>
      <c r="U22" s="135"/>
      <c r="V22" s="136"/>
      <c r="W22" s="167"/>
      <c r="X22" s="135"/>
      <c r="Y22" s="136"/>
      <c r="Z22" s="167"/>
    </row>
    <row r="23" spans="2:26" s="151" customFormat="1">
      <c r="B23" s="118">
        <f>'Master BOQ Pricing_2018-01-08'!B188</f>
        <v>12.08</v>
      </c>
      <c r="C23" s="78" t="str">
        <f>'Master BOQ Pricing_2018-01-08'!C188</f>
        <v>Installation of Storm Water Entry and Exit</v>
      </c>
      <c r="D23" s="92" t="str">
        <f>'Master BOQ Pricing_2018-01-08'!D188</f>
        <v>ea</v>
      </c>
      <c r="E23" s="256">
        <f>'Master BOQ Pricing_2018-01-08'!E188</f>
        <v>586.95000000000005</v>
      </c>
      <c r="F23" s="103"/>
      <c r="G23" s="107"/>
      <c r="H23" s="103"/>
      <c r="I23" s="135"/>
      <c r="J23" s="136"/>
      <c r="K23" s="167"/>
      <c r="L23" s="103"/>
      <c r="M23" s="135"/>
      <c r="N23" s="136"/>
      <c r="O23" s="167"/>
      <c r="P23" s="103"/>
      <c r="Q23" s="135"/>
      <c r="R23" s="136"/>
      <c r="S23" s="167"/>
      <c r="T23" s="103"/>
      <c r="U23" s="135"/>
      <c r="V23" s="136"/>
      <c r="W23" s="167"/>
      <c r="X23" s="135"/>
      <c r="Y23" s="136"/>
      <c r="Z23" s="167"/>
    </row>
    <row r="24" spans="2:26" s="151" customFormat="1">
      <c r="B24" s="118">
        <f>'Master BOQ Pricing_2018-01-08'!B189</f>
        <v>12.09</v>
      </c>
      <c r="C24" s="78" t="str">
        <f>'Master BOQ Pricing_2018-01-08'!C189</f>
        <v>Installation of Storm Water Entry or Exit</v>
      </c>
      <c r="D24" s="92" t="str">
        <f>'Master BOQ Pricing_2018-01-08'!D189</f>
        <v>ea</v>
      </c>
      <c r="E24" s="256">
        <f>'Master BOQ Pricing_2018-01-08'!E189</f>
        <v>478</v>
      </c>
      <c r="F24" s="103"/>
      <c r="G24" s="107"/>
      <c r="H24" s="103"/>
      <c r="I24" s="135"/>
      <c r="J24" s="136"/>
      <c r="K24" s="167"/>
      <c r="L24" s="103"/>
      <c r="M24" s="135"/>
      <c r="N24" s="136"/>
      <c r="O24" s="167"/>
      <c r="P24" s="103"/>
      <c r="Q24" s="135"/>
      <c r="R24" s="136"/>
      <c r="S24" s="167"/>
      <c r="T24" s="103"/>
      <c r="U24" s="135"/>
      <c r="V24" s="136"/>
      <c r="W24" s="167"/>
      <c r="X24" s="135"/>
      <c r="Y24" s="136"/>
      <c r="Z24" s="167"/>
    </row>
    <row r="25" spans="2:26" s="151" customFormat="1">
      <c r="B25" s="118">
        <f>'Master BOQ Pricing_2018-01-08'!B190</f>
        <v>12.1</v>
      </c>
      <c r="C25" s="78" t="str">
        <f>'Master BOQ Pricing_2018-01-08'!C190</f>
        <v>CCTV Survey Pre Installation</v>
      </c>
      <c r="D25" s="92" t="str">
        <f>'Master BOQ Pricing_2018-01-08'!D190</f>
        <v>m</v>
      </c>
      <c r="E25" s="256">
        <f>'Master BOQ Pricing_2018-01-08'!E190</f>
        <v>14.38</v>
      </c>
      <c r="F25" s="103"/>
      <c r="G25" s="107"/>
      <c r="H25" s="103"/>
      <c r="I25" s="135"/>
      <c r="J25" s="136"/>
      <c r="K25" s="167"/>
      <c r="L25" s="103"/>
      <c r="M25" s="135"/>
      <c r="N25" s="136"/>
      <c r="O25" s="167"/>
      <c r="P25" s="103"/>
      <c r="Q25" s="135"/>
      <c r="R25" s="136"/>
      <c r="S25" s="167"/>
      <c r="T25" s="103"/>
      <c r="U25" s="135"/>
      <c r="V25" s="136"/>
      <c r="W25" s="167"/>
      <c r="X25" s="135"/>
      <c r="Y25" s="136"/>
      <c r="Z25" s="167"/>
    </row>
    <row r="26" spans="2:26" s="151" customFormat="1">
      <c r="B26" s="118">
        <f>'Master BOQ Pricing_2018-01-08'!B191</f>
        <v>12.11</v>
      </c>
      <c r="C26" s="78" t="str">
        <f>'Master BOQ Pricing_2018-01-08'!C191</f>
        <v>CCTV Survey   Post Installation</v>
      </c>
      <c r="D26" s="92" t="str">
        <f>'Master BOQ Pricing_2018-01-08'!D191</f>
        <v>m</v>
      </c>
      <c r="E26" s="256">
        <f>'Master BOQ Pricing_2018-01-08'!E191</f>
        <v>11.5</v>
      </c>
      <c r="F26" s="103"/>
      <c r="G26" s="107"/>
      <c r="H26" s="103"/>
      <c r="I26" s="135"/>
      <c r="J26" s="136"/>
      <c r="K26" s="167"/>
      <c r="L26" s="103"/>
      <c r="M26" s="135"/>
      <c r="N26" s="136"/>
      <c r="O26" s="167"/>
      <c r="P26" s="103"/>
      <c r="Q26" s="135"/>
      <c r="R26" s="136"/>
      <c r="S26" s="167"/>
      <c r="T26" s="103"/>
      <c r="U26" s="135"/>
      <c r="V26" s="136"/>
      <c r="W26" s="167"/>
      <c r="X26" s="135"/>
      <c r="Y26" s="136"/>
      <c r="Z26" s="167"/>
    </row>
    <row r="27" spans="2:26" s="151" customFormat="1">
      <c r="B27" s="118">
        <f>'Master BOQ Pricing_2018-01-08'!B192</f>
        <v>12.12</v>
      </c>
      <c r="C27" s="78" t="str">
        <f>'Master BOQ Pricing_2018-01-08'!C192</f>
        <v xml:space="preserve">High Pressure Jetting -Sewer </v>
      </c>
      <c r="D27" s="92" t="str">
        <f>'Master BOQ Pricing_2018-01-08'!D192</f>
        <v>m</v>
      </c>
      <c r="E27" s="256">
        <f>'Master BOQ Pricing_2018-01-08'!E192</f>
        <v>25.88</v>
      </c>
      <c r="F27" s="91">
        <f>'Infra Build BOQ'!H192</f>
        <v>0</v>
      </c>
      <c r="G27" s="106">
        <f>'Infra Build BOQ'!I192</f>
        <v>0</v>
      </c>
      <c r="H27" s="91">
        <f>'Infra Build BOQ'!T192</f>
        <v>0</v>
      </c>
      <c r="I27" s="101">
        <f>'Infra Build BOQ'!U192</f>
        <v>0</v>
      </c>
      <c r="J27" s="117">
        <f>'Infra Build BOQ'!V192</f>
        <v>0</v>
      </c>
      <c r="K27" s="159">
        <f>'Infra Build BOQ'!W192</f>
        <v>0</v>
      </c>
      <c r="L27" s="91">
        <f>'Infra Build BOQ'!X192</f>
        <v>0</v>
      </c>
      <c r="M27" s="101">
        <f>'Infra Build BOQ'!Y192</f>
        <v>0</v>
      </c>
      <c r="N27" s="117">
        <f>'Infra Build BOQ'!Z192</f>
        <v>0</v>
      </c>
      <c r="O27" s="159">
        <f>'Infra Build BOQ'!AA192</f>
        <v>0</v>
      </c>
      <c r="P27" s="91">
        <f>'Infra Build BOQ'!AB192</f>
        <v>0</v>
      </c>
      <c r="Q27" s="101">
        <f>'Infra Build BOQ'!AC192</f>
        <v>0</v>
      </c>
      <c r="R27" s="117">
        <f>'Infra Build BOQ'!AD192</f>
        <v>0</v>
      </c>
      <c r="S27" s="159">
        <f>'Infra Build BOQ'!AE192</f>
        <v>0</v>
      </c>
      <c r="T27" s="91">
        <f>'Infra Build BOQ'!AF192</f>
        <v>0</v>
      </c>
      <c r="U27" s="101">
        <f>'Infra Build BOQ'!AG192</f>
        <v>0</v>
      </c>
      <c r="V27" s="117">
        <f>'Infra Build BOQ'!AH192</f>
        <v>0</v>
      </c>
      <c r="W27" s="159">
        <f>'Infra Build BOQ'!AI192</f>
        <v>0</v>
      </c>
      <c r="X27" s="101">
        <f>'Infra Build BOQ'!AJ192</f>
        <v>0</v>
      </c>
      <c r="Y27" s="117">
        <f>'Infra Build BOQ'!AK192</f>
        <v>0</v>
      </c>
      <c r="Z27" s="159">
        <f>'Infra Build BOQ'!AL192</f>
        <v>0</v>
      </c>
    </row>
    <row r="28" spans="2:26" s="151" customFormat="1">
      <c r="B28" s="118">
        <f>'Master BOQ Pricing_2018-01-08'!B193</f>
        <v>12.13</v>
      </c>
      <c r="C28" s="78" t="str">
        <f>'Master BOQ Pricing_2018-01-08'!C193</f>
        <v xml:space="preserve">High Pressure Jetting-StormWater </v>
      </c>
      <c r="D28" s="92" t="str">
        <f>'Master BOQ Pricing_2018-01-08'!D193</f>
        <v>m</v>
      </c>
      <c r="E28" s="256">
        <f>'Master BOQ Pricing_2018-01-08'!E193</f>
        <v>51.749999999999993</v>
      </c>
      <c r="F28" s="91">
        <f>'Infra Build BOQ'!H193</f>
        <v>0</v>
      </c>
      <c r="G28" s="106">
        <f>'Infra Build BOQ'!I193</f>
        <v>0</v>
      </c>
      <c r="H28" s="91">
        <f>'Infra Build BOQ'!T193</f>
        <v>0</v>
      </c>
      <c r="I28" s="101">
        <f>'Infra Build BOQ'!U193</f>
        <v>0</v>
      </c>
      <c r="J28" s="117">
        <f>'Infra Build BOQ'!V193</f>
        <v>0</v>
      </c>
      <c r="K28" s="159">
        <f>'Infra Build BOQ'!W193</f>
        <v>0</v>
      </c>
      <c r="L28" s="91">
        <f>'Infra Build BOQ'!X193</f>
        <v>0</v>
      </c>
      <c r="M28" s="101">
        <f>'Infra Build BOQ'!Y193</f>
        <v>0</v>
      </c>
      <c r="N28" s="117">
        <f>'Infra Build BOQ'!Z193</f>
        <v>0</v>
      </c>
      <c r="O28" s="159">
        <f>'Infra Build BOQ'!AA193</f>
        <v>0</v>
      </c>
      <c r="P28" s="91">
        <f>'Infra Build BOQ'!AB193</f>
        <v>0</v>
      </c>
      <c r="Q28" s="101">
        <f>'Infra Build BOQ'!AC193</f>
        <v>0</v>
      </c>
      <c r="R28" s="117">
        <f>'Infra Build BOQ'!AD193</f>
        <v>0</v>
      </c>
      <c r="S28" s="159">
        <f>'Infra Build BOQ'!AE193</f>
        <v>0</v>
      </c>
      <c r="T28" s="91">
        <f>'Infra Build BOQ'!AF193</f>
        <v>0</v>
      </c>
      <c r="U28" s="101">
        <f>'Infra Build BOQ'!AG193</f>
        <v>0</v>
      </c>
      <c r="V28" s="117">
        <f>'Infra Build BOQ'!AH193</f>
        <v>0</v>
      </c>
      <c r="W28" s="159">
        <f>'Infra Build BOQ'!AI193</f>
        <v>0</v>
      </c>
      <c r="X28" s="101">
        <f>'Infra Build BOQ'!AJ193</f>
        <v>0</v>
      </c>
      <c r="Y28" s="117">
        <f>'Infra Build BOQ'!AK193</f>
        <v>0</v>
      </c>
      <c r="Z28" s="159">
        <f>'Infra Build BOQ'!AL193</f>
        <v>0</v>
      </c>
    </row>
    <row r="29" spans="2:26" s="151" customFormat="1">
      <c r="B29" s="118">
        <f>'Master BOQ Pricing_2018-01-08'!B194</f>
        <v>12.14</v>
      </c>
      <c r="C29" s="78" t="str">
        <f>'Master BOQ Pricing_2018-01-08'!C194</f>
        <v xml:space="preserve">Over pumping ≤300mm pipe pumping distance not exceeding 150m  </v>
      </c>
      <c r="D29" s="92" t="str">
        <f>'Master BOQ Pricing_2018-01-08'!D194</f>
        <v>hour</v>
      </c>
      <c r="E29" s="256">
        <f>'Master BOQ Pricing_2018-01-08'!E194</f>
        <v>505.99999999999994</v>
      </c>
      <c r="F29" s="91">
        <f>'Infra Build BOQ'!H194</f>
        <v>0</v>
      </c>
      <c r="G29" s="106">
        <f>'Infra Build BOQ'!I194</f>
        <v>0</v>
      </c>
      <c r="H29" s="91">
        <f>'Infra Build BOQ'!T194</f>
        <v>0</v>
      </c>
      <c r="I29" s="101">
        <f>'Infra Build BOQ'!U194</f>
        <v>0</v>
      </c>
      <c r="J29" s="117">
        <f>'Infra Build BOQ'!V194</f>
        <v>0</v>
      </c>
      <c r="K29" s="159">
        <f>'Infra Build BOQ'!W194</f>
        <v>0</v>
      </c>
      <c r="L29" s="91">
        <f>'Infra Build BOQ'!X194</f>
        <v>0</v>
      </c>
      <c r="M29" s="101">
        <f>'Infra Build BOQ'!Y194</f>
        <v>0</v>
      </c>
      <c r="N29" s="117">
        <f>'Infra Build BOQ'!Z194</f>
        <v>0</v>
      </c>
      <c r="O29" s="159">
        <f>'Infra Build BOQ'!AA194</f>
        <v>0</v>
      </c>
      <c r="P29" s="91">
        <f>'Infra Build BOQ'!AB194</f>
        <v>0</v>
      </c>
      <c r="Q29" s="101">
        <f>'Infra Build BOQ'!AC194</f>
        <v>0</v>
      </c>
      <c r="R29" s="117">
        <f>'Infra Build BOQ'!AD194</f>
        <v>0</v>
      </c>
      <c r="S29" s="159">
        <f>'Infra Build BOQ'!AE194</f>
        <v>0</v>
      </c>
      <c r="T29" s="91">
        <f>'Infra Build BOQ'!AF194</f>
        <v>0</v>
      </c>
      <c r="U29" s="101">
        <f>'Infra Build BOQ'!AG194</f>
        <v>0</v>
      </c>
      <c r="V29" s="117">
        <f>'Infra Build BOQ'!AH194</f>
        <v>0</v>
      </c>
      <c r="W29" s="159">
        <f>'Infra Build BOQ'!AI194</f>
        <v>0</v>
      </c>
      <c r="X29" s="101">
        <f>'Infra Build BOQ'!AJ194</f>
        <v>0</v>
      </c>
      <c r="Y29" s="117">
        <f>'Infra Build BOQ'!AK194</f>
        <v>0</v>
      </c>
      <c r="Z29" s="159">
        <f>'Infra Build BOQ'!AL194</f>
        <v>0</v>
      </c>
    </row>
    <row r="30" spans="2:26" s="151" customFormat="1">
      <c r="B30" s="118">
        <f>'Master BOQ Pricing_2018-01-08'!B195</f>
        <v>12.15</v>
      </c>
      <c r="C30" s="78" t="str">
        <f>'Master BOQ Pricing_2018-01-08'!C195</f>
        <v>Sewer sand Bagging per manhole</v>
      </c>
      <c r="D30" s="92" t="str">
        <f>'Master BOQ Pricing_2018-01-08'!D195</f>
        <v>ea</v>
      </c>
      <c r="E30" s="256">
        <f>'Master BOQ Pricing_2018-01-08'!E195</f>
        <v>23</v>
      </c>
      <c r="F30" s="91">
        <f>'Infra Build BOQ'!H195</f>
        <v>0</v>
      </c>
      <c r="G30" s="106">
        <f>'Infra Build BOQ'!I195</f>
        <v>0</v>
      </c>
      <c r="H30" s="91">
        <f>'Infra Build BOQ'!T195</f>
        <v>0</v>
      </c>
      <c r="I30" s="101">
        <f>'Infra Build BOQ'!U195</f>
        <v>0</v>
      </c>
      <c r="J30" s="117">
        <f>'Infra Build BOQ'!V195</f>
        <v>0</v>
      </c>
      <c r="K30" s="159">
        <f>'Infra Build BOQ'!W195</f>
        <v>0</v>
      </c>
      <c r="L30" s="91">
        <f>'Infra Build BOQ'!X195</f>
        <v>0</v>
      </c>
      <c r="M30" s="101">
        <f>'Infra Build BOQ'!Y195</f>
        <v>0</v>
      </c>
      <c r="N30" s="117">
        <f>'Infra Build BOQ'!Z195</f>
        <v>0</v>
      </c>
      <c r="O30" s="159">
        <f>'Infra Build BOQ'!AA195</f>
        <v>0</v>
      </c>
      <c r="P30" s="91">
        <f>'Infra Build BOQ'!AB195</f>
        <v>0</v>
      </c>
      <c r="Q30" s="101">
        <f>'Infra Build BOQ'!AC195</f>
        <v>0</v>
      </c>
      <c r="R30" s="117">
        <f>'Infra Build BOQ'!AD195</f>
        <v>0</v>
      </c>
      <c r="S30" s="159">
        <f>'Infra Build BOQ'!AE195</f>
        <v>0</v>
      </c>
      <c r="T30" s="91">
        <f>'Infra Build BOQ'!AF195</f>
        <v>0</v>
      </c>
      <c r="U30" s="101">
        <f>'Infra Build BOQ'!AG195</f>
        <v>0</v>
      </c>
      <c r="V30" s="117">
        <f>'Infra Build BOQ'!AH195</f>
        <v>0</v>
      </c>
      <c r="W30" s="159">
        <f>'Infra Build BOQ'!AI195</f>
        <v>0</v>
      </c>
      <c r="X30" s="101">
        <f>'Infra Build BOQ'!AJ195</f>
        <v>0</v>
      </c>
      <c r="Y30" s="117">
        <f>'Infra Build BOQ'!AK195</f>
        <v>0</v>
      </c>
      <c r="Z30" s="159">
        <f>'Infra Build BOQ'!AL195</f>
        <v>0</v>
      </c>
    </row>
    <row r="31" spans="2:26" s="151" customFormat="1">
      <c r="B31" s="112"/>
      <c r="C31" s="80"/>
      <c r="D31" s="83"/>
      <c r="E31" s="119"/>
      <c r="F31" s="123"/>
      <c r="G31" s="122"/>
      <c r="H31" s="123"/>
      <c r="I31" s="120"/>
      <c r="J31" s="121"/>
      <c r="K31" s="164"/>
      <c r="L31" s="123"/>
      <c r="M31" s="120"/>
      <c r="N31" s="121"/>
      <c r="O31" s="164"/>
      <c r="P31" s="123"/>
      <c r="Q31" s="120"/>
      <c r="R31" s="121"/>
      <c r="S31" s="164"/>
      <c r="T31" s="123"/>
      <c r="U31" s="120"/>
      <c r="V31" s="121"/>
      <c r="W31" s="164"/>
      <c r="X31" s="120"/>
      <c r="Y31" s="121"/>
      <c r="Z31" s="164"/>
    </row>
    <row r="32" spans="2:26" s="149" customFormat="1" ht="18.600000000000001" thickBot="1">
      <c r="B32" s="145"/>
      <c r="C32" s="161"/>
      <c r="D32" s="145"/>
      <c r="E32" s="144" t="s">
        <v>5</v>
      </c>
      <c r="F32" s="145"/>
      <c r="G32" s="146">
        <f>SUM(G13:G31)</f>
        <v>0</v>
      </c>
      <c r="H32" s="145"/>
      <c r="I32" s="147"/>
      <c r="J32" s="148">
        <f>SUM(J13:J31)</f>
        <v>0</v>
      </c>
      <c r="K32" s="145"/>
      <c r="L32" s="145"/>
      <c r="M32" s="147"/>
      <c r="N32" s="148">
        <f>SUM(N13:N31)</f>
        <v>0</v>
      </c>
      <c r="R32" s="150">
        <f>SUM(R13:R31)</f>
        <v>0</v>
      </c>
      <c r="V32" s="150">
        <f>SUM(V13:V31)</f>
        <v>0</v>
      </c>
      <c r="Y32" s="150">
        <f>SUM(Y13:Y31)</f>
        <v>0</v>
      </c>
    </row>
    <row r="33" spans="1:25" s="151" customFormat="1" ht="14.4" thickTop="1">
      <c r="B33" s="5"/>
      <c r="C33" s="6"/>
      <c r="D33" s="5"/>
      <c r="E33" s="7"/>
      <c r="F33" s="5"/>
      <c r="G33" s="5"/>
      <c r="H33" s="5"/>
      <c r="I33" s="5"/>
      <c r="J33" s="52"/>
      <c r="K33" s="5"/>
    </row>
    <row r="34" spans="1:25" s="151" customFormat="1" ht="14.4">
      <c r="A34" s="152"/>
      <c r="B34" s="152"/>
      <c r="C34" s="152"/>
      <c r="D34" s="152"/>
      <c r="E34" s="152"/>
      <c r="F34" s="5"/>
      <c r="G34" s="153"/>
      <c r="H34" s="154" t="s">
        <v>220</v>
      </c>
      <c r="I34" s="154"/>
      <c r="J34" s="155">
        <f>J32-G32</f>
        <v>0</v>
      </c>
      <c r="K34" s="154"/>
      <c r="L34" s="154" t="s">
        <v>222</v>
      </c>
      <c r="M34" s="154"/>
      <c r="N34" s="155">
        <f>N32-J32</f>
        <v>0</v>
      </c>
      <c r="O34" s="154"/>
      <c r="P34" s="154" t="s">
        <v>224</v>
      </c>
      <c r="Q34" s="154"/>
      <c r="R34" s="155">
        <f>R32-N32</f>
        <v>0</v>
      </c>
      <c r="S34" s="154"/>
      <c r="T34" s="154" t="s">
        <v>226</v>
      </c>
      <c r="U34" s="154"/>
      <c r="V34" s="155">
        <f>V32-R32</f>
        <v>0</v>
      </c>
      <c r="W34" s="154"/>
      <c r="X34" s="154" t="s">
        <v>228</v>
      </c>
      <c r="Y34" s="155">
        <f>Y32-G32</f>
        <v>0</v>
      </c>
    </row>
    <row r="35" spans="1:25" s="158" customFormat="1" ht="18">
      <c r="A35" s="162"/>
      <c r="B35" s="162"/>
      <c r="C35" s="156"/>
      <c r="D35" s="156"/>
      <c r="E35" s="156"/>
      <c r="F35" s="151"/>
      <c r="G35" s="168"/>
      <c r="H35" s="154" t="s">
        <v>221</v>
      </c>
      <c r="I35" s="154"/>
      <c r="J35" s="157" t="e">
        <f>J34/G32</f>
        <v>#DIV/0!</v>
      </c>
      <c r="K35" s="154"/>
      <c r="L35" s="154" t="s">
        <v>223</v>
      </c>
      <c r="M35" s="154"/>
      <c r="N35" s="157" t="e">
        <f>N34/J32</f>
        <v>#DIV/0!</v>
      </c>
      <c r="O35" s="154"/>
      <c r="P35" s="154" t="s">
        <v>225</v>
      </c>
      <c r="Q35" s="154"/>
      <c r="R35" s="157" t="e">
        <f>R34/N32</f>
        <v>#DIV/0!</v>
      </c>
      <c r="S35" s="154"/>
      <c r="T35" s="154" t="s">
        <v>227</v>
      </c>
      <c r="U35" s="154"/>
      <c r="V35" s="157" t="e">
        <f>V34/R32</f>
        <v>#DIV/0!</v>
      </c>
      <c r="W35" s="154"/>
      <c r="X35" s="154" t="s">
        <v>229</v>
      </c>
      <c r="Y35" s="157" t="e">
        <f>Y34/G32</f>
        <v>#DIV/0!</v>
      </c>
    </row>
    <row r="36" spans="1:25" s="10" customFormat="1" ht="18">
      <c r="A36" s="20"/>
      <c r="B36" s="20"/>
      <c r="C36" s="20"/>
      <c r="D36" s="20"/>
      <c r="E36" s="20"/>
      <c r="F36" s="20"/>
      <c r="G36" s="9"/>
      <c r="H36" s="20"/>
      <c r="I36" s="20"/>
    </row>
    <row r="37" spans="1:25" ht="18">
      <c r="A37" s="10"/>
      <c r="B37" s="10"/>
      <c r="C37" s="11"/>
      <c r="D37" s="11"/>
      <c r="E37" s="11"/>
      <c r="F37" s="13"/>
      <c r="G37" s="14"/>
      <c r="H37" s="10"/>
      <c r="I37" s="10"/>
    </row>
    <row r="38" spans="1:25" ht="18">
      <c r="A38" s="10"/>
      <c r="B38" s="10"/>
      <c r="C38" s="11"/>
      <c r="D38" s="1188"/>
      <c r="E38" s="1188"/>
      <c r="F38" s="10"/>
      <c r="G38" s="15"/>
      <c r="H38" s="10"/>
      <c r="I38" s="10"/>
    </row>
    <row r="39" spans="1:25" ht="18">
      <c r="A39" s="10"/>
      <c r="B39" s="10"/>
      <c r="C39" s="11"/>
      <c r="D39" s="1188"/>
      <c r="E39" s="1188"/>
      <c r="F39" s="10"/>
      <c r="G39" s="15"/>
      <c r="H39" s="10"/>
      <c r="I39" s="10"/>
    </row>
  </sheetData>
  <sheetProtection algorithmName="SHA-512" hashValue="qGDJVlSOiEtEVewMtkKrMfdbPTrNQvjI131GfQ4RrbUAjYA9o3Rjalkg+OzSQgSvu885u3PsPFUlKBx5gRbcnw==" saltValue="fzRyM7FBF4/fbPxvlPsW2Q==" spinCount="100000" sheet="1" objects="1" scenarios="1" formatCells="0" formatColumns="0" formatRows="0" insertHyperlinks="0" sort="0" autoFilter="0" pivotTables="0"/>
  <autoFilter ref="B12:Z12" xr:uid="{00000000-0009-0000-0000-00000C000000}"/>
  <mergeCells count="17">
    <mergeCell ref="B11:G11"/>
    <mergeCell ref="H11:Z11"/>
    <mergeCell ref="D38:E38"/>
    <mergeCell ref="D39:E39"/>
    <mergeCell ref="B2:G2"/>
    <mergeCell ref="D3:E3"/>
    <mergeCell ref="D4:E4"/>
    <mergeCell ref="H2:Z2"/>
    <mergeCell ref="F3:G3"/>
    <mergeCell ref="H3:Z10"/>
    <mergeCell ref="F4:G4"/>
    <mergeCell ref="F5:G5"/>
    <mergeCell ref="F6:G6"/>
    <mergeCell ref="F8:G8"/>
    <mergeCell ref="F9:G9"/>
    <mergeCell ref="D5:E5"/>
    <mergeCell ref="D6:E6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B0F0"/>
  </sheetPr>
  <dimension ref="A1:Z32"/>
  <sheetViews>
    <sheetView showGridLines="0" zoomScale="80" zoomScaleNormal="80" workbookViewId="0">
      <selection activeCell="C3" sqref="C3"/>
    </sheetView>
  </sheetViews>
  <sheetFormatPr defaultColWidth="4.44140625" defaultRowHeight="13.8"/>
  <cols>
    <col min="1" max="1" width="4.88671875" style="20" customWidth="1"/>
    <col min="2" max="2" width="25.109375" style="20" customWidth="1"/>
    <col min="3" max="3" width="94.33203125" style="20" customWidth="1"/>
    <col min="4" max="4" width="17.33203125" style="20" customWidth="1"/>
    <col min="5" max="5" width="12.6640625" style="20" customWidth="1"/>
    <col min="6" max="6" width="18.77734375" style="20" customWidth="1"/>
    <col min="7" max="7" width="22.77734375" style="20" customWidth="1"/>
    <col min="8" max="8" width="16" style="20" customWidth="1"/>
    <col min="9" max="9" width="18.77734375" style="20" customWidth="1"/>
    <col min="10" max="10" width="22.77734375" style="20" customWidth="1"/>
    <col min="11" max="11" width="20.77734375" style="20" customWidth="1"/>
    <col min="12" max="12" width="16" style="20" customWidth="1"/>
    <col min="13" max="13" width="18.77734375" style="20" customWidth="1"/>
    <col min="14" max="14" width="22.77734375" style="20" customWidth="1"/>
    <col min="15" max="15" width="20.77734375" style="20" customWidth="1"/>
    <col min="16" max="16" width="16" style="20" customWidth="1"/>
    <col min="17" max="17" width="18.77734375" style="20" customWidth="1"/>
    <col min="18" max="18" width="22.77734375" style="20" customWidth="1"/>
    <col min="19" max="19" width="20.77734375" style="20" customWidth="1"/>
    <col min="20" max="20" width="16" style="20" customWidth="1"/>
    <col min="21" max="21" width="18.77734375" style="20" customWidth="1"/>
    <col min="22" max="22" width="22.77734375" style="20" customWidth="1"/>
    <col min="23" max="23" width="20.77734375" style="20" customWidth="1"/>
    <col min="24" max="24" width="18.77734375" style="20" customWidth="1"/>
    <col min="25" max="25" width="22.77734375" style="20" customWidth="1"/>
    <col min="26" max="26" width="20.77734375" style="20" customWidth="1"/>
    <col min="27" max="16384" width="4.44140625" style="20"/>
  </cols>
  <sheetData>
    <row r="1" spans="1:26" ht="16.2" thickBot="1">
      <c r="A1" s="25" t="s">
        <v>117</v>
      </c>
      <c r="B1" s="26" t="str">
        <f>'Master BOQ Pricing_2018-01-08'!B1</f>
        <v>To Be viewed in conjunction with BOS_000-MS-BO-010 Rev 5</v>
      </c>
      <c r="C1" s="27"/>
      <c r="D1" s="27"/>
      <c r="E1" s="27"/>
      <c r="F1" s="27"/>
      <c r="G1" s="27"/>
      <c r="H1" s="27"/>
    </row>
    <row r="2" spans="1:26" ht="21" thickBot="1">
      <c r="A2" s="27"/>
      <c r="B2" s="1133" t="str">
        <f>'Infra Build BOQ'!B2:I2</f>
        <v>77K0057591  /  77K0057591</v>
      </c>
      <c r="C2" s="1134"/>
      <c r="D2" s="1134"/>
      <c r="E2" s="1134"/>
      <c r="F2" s="1134"/>
      <c r="G2" s="1134"/>
      <c r="H2" s="1098"/>
      <c r="I2" s="1099"/>
      <c r="J2" s="1099"/>
      <c r="K2" s="1099"/>
      <c r="L2" s="1099"/>
      <c r="M2" s="1099"/>
      <c r="N2" s="1099"/>
      <c r="O2" s="1099"/>
      <c r="P2" s="1099"/>
      <c r="Q2" s="1099"/>
      <c r="R2" s="1099"/>
      <c r="S2" s="1099"/>
      <c r="T2" s="1099"/>
      <c r="U2" s="1099"/>
      <c r="V2" s="1099"/>
      <c r="W2" s="1099"/>
      <c r="X2" s="1099"/>
      <c r="Y2" s="1099"/>
      <c r="Z2" s="1100"/>
    </row>
    <row r="3" spans="1:26" ht="15.6">
      <c r="A3" s="27"/>
      <c r="B3" s="88" t="s">
        <v>1</v>
      </c>
      <c r="C3" s="178" t="str">
        <f>CONCATENATE('EXE Dashboard'!C4,"  /  ",'EXE Dashboard'!C5)</f>
        <v>77K0057591  /  77K0057591</v>
      </c>
      <c r="D3" s="1142" t="s">
        <v>362</v>
      </c>
      <c r="E3" s="1191"/>
      <c r="F3" s="1112">
        <f>'Infra Build BOQ'!F3</f>
        <v>0</v>
      </c>
      <c r="G3" s="1113"/>
      <c r="H3" s="1193" t="s">
        <v>279</v>
      </c>
      <c r="I3" s="1102"/>
      <c r="J3" s="1102"/>
      <c r="K3" s="1102"/>
      <c r="L3" s="1102"/>
      <c r="M3" s="1102"/>
      <c r="N3" s="1102"/>
      <c r="O3" s="1102"/>
      <c r="P3" s="1102"/>
      <c r="Q3" s="1102"/>
      <c r="R3" s="1102"/>
      <c r="S3" s="1102"/>
      <c r="T3" s="1102"/>
      <c r="U3" s="1102"/>
      <c r="V3" s="1102"/>
      <c r="W3" s="1102"/>
      <c r="X3" s="1102"/>
      <c r="Y3" s="1102"/>
      <c r="Z3" s="1103"/>
    </row>
    <row r="4" spans="1:26" ht="16.5" customHeight="1">
      <c r="A4" s="27"/>
      <c r="B4" s="89" t="s">
        <v>0</v>
      </c>
      <c r="C4" s="449" t="str">
        <f>'Infra Build BOQ'!C4</f>
        <v xml:space="preserve">Eletronic Communications Network (Pty) Ltd </v>
      </c>
      <c r="D4" s="1144" t="s">
        <v>2</v>
      </c>
      <c r="E4" s="1192"/>
      <c r="F4" s="1115" t="str">
        <f>'Infra Build BOQ'!F4</f>
        <v>Ethekwini</v>
      </c>
      <c r="G4" s="1116"/>
      <c r="H4" s="1194"/>
      <c r="I4" s="1104"/>
      <c r="J4" s="1104"/>
      <c r="K4" s="1104"/>
      <c r="L4" s="1104"/>
      <c r="M4" s="1104"/>
      <c r="N4" s="1104"/>
      <c r="O4" s="1104"/>
      <c r="P4" s="1104"/>
      <c r="Q4" s="1104"/>
      <c r="R4" s="1104"/>
      <c r="S4" s="1104"/>
      <c r="T4" s="1104"/>
      <c r="U4" s="1104"/>
      <c r="V4" s="1104"/>
      <c r="W4" s="1104"/>
      <c r="X4" s="1104"/>
      <c r="Y4" s="1104"/>
      <c r="Z4" s="1105"/>
    </row>
    <row r="5" spans="1:26" ht="16.5" customHeight="1">
      <c r="A5" s="27"/>
      <c r="B5" s="90" t="s">
        <v>437</v>
      </c>
      <c r="C5" s="449">
        <f>'MATERIAL REQUEST'!C4</f>
        <v>0</v>
      </c>
      <c r="D5" s="1144" t="s">
        <v>3</v>
      </c>
      <c r="E5" s="1192"/>
      <c r="F5" s="1118" t="str">
        <f>'Infra Build BOQ'!F5</f>
        <v>Date: 2023/08/25</v>
      </c>
      <c r="G5" s="1119"/>
      <c r="H5" s="1194"/>
      <c r="I5" s="1104"/>
      <c r="J5" s="1104"/>
      <c r="K5" s="1104"/>
      <c r="L5" s="1104"/>
      <c r="M5" s="1104"/>
      <c r="N5" s="1104"/>
      <c r="O5" s="1104"/>
      <c r="P5" s="1104"/>
      <c r="Q5" s="1104"/>
      <c r="R5" s="1104"/>
      <c r="S5" s="1104"/>
      <c r="T5" s="1104"/>
      <c r="U5" s="1104"/>
      <c r="V5" s="1104"/>
      <c r="W5" s="1104"/>
      <c r="X5" s="1104"/>
      <c r="Y5" s="1104"/>
      <c r="Z5" s="1105"/>
    </row>
    <row r="6" spans="1:26" ht="33" customHeight="1" thickBot="1">
      <c r="A6" s="27"/>
      <c r="B6" s="90" t="s">
        <v>230</v>
      </c>
      <c r="C6" s="450" t="s">
        <v>465</v>
      </c>
      <c r="D6" s="1144" t="s">
        <v>361</v>
      </c>
      <c r="E6" s="1192"/>
      <c r="F6" s="1196" t="str">
        <f>'Infra Build BOQ'!F6</f>
        <v>Phoenix Industrial Access PoP - ECN - Roots Dube Village</v>
      </c>
      <c r="G6" s="1197"/>
      <c r="H6" s="1194"/>
      <c r="I6" s="1104"/>
      <c r="J6" s="1104"/>
      <c r="K6" s="1104"/>
      <c r="L6" s="1104"/>
      <c r="M6" s="1104"/>
      <c r="N6" s="1104"/>
      <c r="O6" s="1104"/>
      <c r="P6" s="1104"/>
      <c r="Q6" s="1104"/>
      <c r="R6" s="1104"/>
      <c r="S6" s="1104"/>
      <c r="T6" s="1104"/>
      <c r="U6" s="1104"/>
      <c r="V6" s="1104"/>
      <c r="W6" s="1104"/>
      <c r="X6" s="1104"/>
      <c r="Y6" s="1104"/>
      <c r="Z6" s="1105"/>
    </row>
    <row r="7" spans="1:26" ht="17.25" customHeight="1" thickBot="1">
      <c r="A7" s="27"/>
      <c r="B7" s="128" t="s">
        <v>118</v>
      </c>
      <c r="C7" s="129"/>
      <c r="D7" s="130"/>
      <c r="E7" s="130"/>
      <c r="F7" s="125"/>
      <c r="G7" s="126"/>
      <c r="H7" s="1194"/>
      <c r="I7" s="1104"/>
      <c r="J7" s="1104"/>
      <c r="K7" s="1104"/>
      <c r="L7" s="1104"/>
      <c r="M7" s="1104"/>
      <c r="N7" s="1104"/>
      <c r="O7" s="1104"/>
      <c r="P7" s="1104"/>
      <c r="Q7" s="1104"/>
      <c r="R7" s="1104"/>
      <c r="S7" s="1104"/>
      <c r="T7" s="1104"/>
      <c r="U7" s="1104"/>
      <c r="V7" s="1104"/>
      <c r="W7" s="1104"/>
      <c r="X7" s="1104"/>
      <c r="Y7" s="1104"/>
      <c r="Z7" s="1105"/>
    </row>
    <row r="8" spans="1:26" ht="17.25" customHeight="1" thickBot="1">
      <c r="A8" s="27"/>
      <c r="B8" s="128"/>
      <c r="C8" s="129"/>
      <c r="D8" s="130"/>
      <c r="E8" s="130"/>
      <c r="F8" s="125"/>
      <c r="G8" s="126"/>
      <c r="H8" s="1194"/>
      <c r="I8" s="1104"/>
      <c r="J8" s="1104"/>
      <c r="K8" s="1104"/>
      <c r="L8" s="1104"/>
      <c r="M8" s="1104"/>
      <c r="N8" s="1104"/>
      <c r="O8" s="1104"/>
      <c r="P8" s="1104"/>
      <c r="Q8" s="1104"/>
      <c r="R8" s="1104"/>
      <c r="S8" s="1104"/>
      <c r="T8" s="1104"/>
      <c r="U8" s="1104"/>
      <c r="V8" s="1104"/>
      <c r="W8" s="1104"/>
      <c r="X8" s="1104"/>
      <c r="Y8" s="1104"/>
      <c r="Z8" s="1105"/>
    </row>
    <row r="9" spans="1:26" ht="17.25" customHeight="1" thickBot="1">
      <c r="A9" s="27"/>
      <c r="B9" s="128"/>
      <c r="C9" s="129"/>
      <c r="D9" s="130"/>
      <c r="E9" s="130"/>
      <c r="F9" s="125"/>
      <c r="G9" s="126"/>
      <c r="H9" s="1194"/>
      <c r="I9" s="1104"/>
      <c r="J9" s="1104"/>
      <c r="K9" s="1104"/>
      <c r="L9" s="1104"/>
      <c r="M9" s="1104"/>
      <c r="N9" s="1104"/>
      <c r="O9" s="1104"/>
      <c r="P9" s="1104"/>
      <c r="Q9" s="1104"/>
      <c r="R9" s="1104"/>
      <c r="S9" s="1104"/>
      <c r="T9" s="1104"/>
      <c r="U9" s="1104"/>
      <c r="V9" s="1104"/>
      <c r="W9" s="1104"/>
      <c r="X9" s="1104"/>
      <c r="Y9" s="1104"/>
      <c r="Z9" s="1105"/>
    </row>
    <row r="10" spans="1:26" ht="17.25" customHeight="1" thickBot="1">
      <c r="A10" s="27"/>
      <c r="B10" s="128"/>
      <c r="C10" s="133"/>
      <c r="D10" s="130"/>
      <c r="E10" s="130"/>
      <c r="F10" s="125"/>
      <c r="G10" s="126"/>
      <c r="H10" s="1195"/>
      <c r="I10" s="1107"/>
      <c r="J10" s="1107"/>
      <c r="K10" s="1107"/>
      <c r="L10" s="1107"/>
      <c r="M10" s="1107"/>
      <c r="N10" s="1107"/>
      <c r="O10" s="1107"/>
      <c r="P10" s="1107"/>
      <c r="Q10" s="1107"/>
      <c r="R10" s="1107"/>
      <c r="S10" s="1107"/>
      <c r="T10" s="1107"/>
      <c r="U10" s="1107"/>
      <c r="V10" s="1107"/>
      <c r="W10" s="1107"/>
      <c r="X10" s="1107"/>
      <c r="Y10" s="1107"/>
      <c r="Z10" s="1108"/>
    </row>
    <row r="11" spans="1:26" ht="18.600000000000001" thickBot="1">
      <c r="A11" s="27"/>
      <c r="B11" s="1189" t="s">
        <v>280</v>
      </c>
      <c r="C11" s="1190"/>
      <c r="D11" s="1190"/>
      <c r="E11" s="1190"/>
      <c r="F11" s="132"/>
      <c r="G11" s="132"/>
      <c r="H11" s="1078"/>
      <c r="I11" s="1079"/>
      <c r="J11" s="1079"/>
      <c r="K11" s="1079"/>
      <c r="L11" s="1079"/>
      <c r="M11" s="1079"/>
      <c r="N11" s="1079"/>
      <c r="O11" s="1079"/>
      <c r="P11" s="1079"/>
      <c r="Q11" s="1079"/>
      <c r="R11" s="1079"/>
      <c r="S11" s="1079"/>
      <c r="T11" s="1079"/>
      <c r="U11" s="1079"/>
      <c r="V11" s="1079"/>
      <c r="W11" s="1079"/>
      <c r="X11" s="1079"/>
      <c r="Y11" s="1079"/>
      <c r="Z11" s="1101"/>
    </row>
    <row r="12" spans="1:26" ht="29.4" thickBot="1">
      <c r="B12" s="86" t="s">
        <v>63</v>
      </c>
      <c r="C12" s="3" t="s">
        <v>4</v>
      </c>
      <c r="D12" s="86" t="s">
        <v>30</v>
      </c>
      <c r="E12" s="87" t="s">
        <v>64</v>
      </c>
      <c r="F12" s="76" t="s">
        <v>272</v>
      </c>
      <c r="G12" s="53" t="s">
        <v>271</v>
      </c>
      <c r="H12" s="60" t="s">
        <v>214</v>
      </c>
      <c r="I12" s="61" t="s">
        <v>211</v>
      </c>
      <c r="J12" s="62" t="s">
        <v>65</v>
      </c>
      <c r="K12" s="63" t="s">
        <v>212</v>
      </c>
      <c r="L12" s="57" t="s">
        <v>215</v>
      </c>
      <c r="M12" s="58" t="s">
        <v>211</v>
      </c>
      <c r="N12" s="59" t="s">
        <v>65</v>
      </c>
      <c r="O12" s="64" t="s">
        <v>212</v>
      </c>
      <c r="P12" s="65" t="s">
        <v>217</v>
      </c>
      <c r="Q12" s="66" t="s">
        <v>211</v>
      </c>
      <c r="R12" s="67" t="s">
        <v>65</v>
      </c>
      <c r="S12" s="68" t="s">
        <v>212</v>
      </c>
      <c r="T12" s="54" t="s">
        <v>216</v>
      </c>
      <c r="U12" s="55" t="s">
        <v>211</v>
      </c>
      <c r="V12" s="56" t="s">
        <v>65</v>
      </c>
      <c r="W12" s="69" t="s">
        <v>212</v>
      </c>
      <c r="X12" s="70" t="s">
        <v>218</v>
      </c>
      <c r="Y12" s="71" t="s">
        <v>65</v>
      </c>
      <c r="Z12" s="72" t="s">
        <v>212</v>
      </c>
    </row>
    <row r="13" spans="1:26" s="274" customFormat="1">
      <c r="B13" s="275">
        <f>'Master BOQ Pricing_2018-01-08'!B14</f>
        <v>1</v>
      </c>
      <c r="C13" s="288" t="str">
        <f>'Master BOQ Pricing_2018-01-08'!C14</f>
        <v>MATERIAL MANAGEMENT</v>
      </c>
      <c r="D13" s="276"/>
      <c r="E13" s="277"/>
      <c r="F13" s="278"/>
      <c r="G13" s="279"/>
      <c r="H13" s="278"/>
      <c r="I13" s="280"/>
      <c r="J13" s="281"/>
      <c r="K13" s="282"/>
      <c r="L13" s="278"/>
      <c r="M13" s="280"/>
      <c r="N13" s="281"/>
      <c r="O13" s="282"/>
      <c r="P13" s="278"/>
      <c r="Q13" s="280"/>
      <c r="R13" s="281"/>
      <c r="S13" s="282"/>
      <c r="T13" s="278"/>
      <c r="U13" s="280"/>
      <c r="V13" s="281"/>
      <c r="W13" s="282"/>
      <c r="X13" s="280"/>
      <c r="Y13" s="281"/>
      <c r="Z13" s="282"/>
    </row>
    <row r="14" spans="1:26" s="274" customFormat="1">
      <c r="B14" s="283">
        <f>'Master BOQ Pricing_2018-01-08'!B15</f>
        <v>1.1000000000000001</v>
      </c>
      <c r="C14" s="284" t="str">
        <f>'Master BOQ Pricing_2018-01-08'!C15</f>
        <v>Collect and delivery of material to Site (&gt;60km) Per Site</v>
      </c>
      <c r="D14" s="285" t="str">
        <f>'Master BOQ Pricing_2018-01-08'!D15</f>
        <v>Per Site</v>
      </c>
      <c r="E14" s="286">
        <f>'Master BOQ Pricing_2018-01-08'!E15</f>
        <v>850</v>
      </c>
      <c r="F14" s="299">
        <f>'Infra Build BOQ'!J15</f>
        <v>0</v>
      </c>
      <c r="G14" s="106">
        <f>E14*F14</f>
        <v>0</v>
      </c>
      <c r="H14" s="511"/>
      <c r="I14" s="142">
        <f>F14+H14</f>
        <v>0</v>
      </c>
      <c r="J14" s="143">
        <f>$E$14*I14</f>
        <v>0</v>
      </c>
      <c r="K14" s="166">
        <f>'Infra Build BOQ'!W15</f>
        <v>0</v>
      </c>
      <c r="L14" s="511"/>
      <c r="M14" s="142">
        <f>I14+L14</f>
        <v>0</v>
      </c>
      <c r="N14" s="143">
        <f>$E$14*M14</f>
        <v>0</v>
      </c>
      <c r="O14" s="166">
        <f>'Infra Build BOQ'!AA15</f>
        <v>0</v>
      </c>
      <c r="P14" s="511"/>
      <c r="Q14" s="142">
        <f>M14+P14</f>
        <v>0</v>
      </c>
      <c r="R14" s="143">
        <f>$E$14*Q14</f>
        <v>0</v>
      </c>
      <c r="S14" s="166">
        <f>'Infra Build BOQ'!AE15</f>
        <v>0</v>
      </c>
      <c r="T14" s="511"/>
      <c r="U14" s="142">
        <f>Q14+T14</f>
        <v>0</v>
      </c>
      <c r="V14" s="143">
        <f>$E$14*U14</f>
        <v>0</v>
      </c>
      <c r="W14" s="166">
        <f>'Infra Build BOQ'!AI15</f>
        <v>0</v>
      </c>
      <c r="X14" s="511"/>
      <c r="Y14" s="143">
        <f>$E$14*X14</f>
        <v>0</v>
      </c>
      <c r="Z14" s="166">
        <f>'Infra Build BOQ'!AL15</f>
        <v>0</v>
      </c>
    </row>
    <row r="15" spans="1:26" s="163" customFormat="1">
      <c r="B15" s="275">
        <f>'Master BOQ Pricing_2018-01-08'!B115</f>
        <v>7</v>
      </c>
      <c r="C15" s="288" t="str">
        <f>'Master BOQ Pricing_2018-01-08'!C115</f>
        <v xml:space="preserve">SPECIALISED CROSSINGS </v>
      </c>
      <c r="D15" s="289"/>
      <c r="E15" s="290"/>
      <c r="F15" s="291"/>
      <c r="G15" s="292"/>
      <c r="H15" s="291"/>
      <c r="I15" s="293"/>
      <c r="J15" s="294"/>
      <c r="K15" s="295"/>
      <c r="L15" s="291"/>
      <c r="M15" s="293"/>
      <c r="N15" s="294"/>
      <c r="O15" s="295"/>
      <c r="P15" s="291"/>
      <c r="Q15" s="293"/>
      <c r="R15" s="294"/>
      <c r="S15" s="295"/>
      <c r="T15" s="291"/>
      <c r="U15" s="293"/>
      <c r="V15" s="294"/>
      <c r="W15" s="295"/>
      <c r="X15" s="293"/>
      <c r="Y15" s="294"/>
      <c r="Z15" s="295"/>
    </row>
    <row r="16" spans="1:26" s="296" customFormat="1" ht="24">
      <c r="B16" s="297">
        <f>'Master BOQ Pricing_2018-01-08'!B116</f>
        <v>7.01</v>
      </c>
      <c r="C16" s="165" t="str">
        <f>'Master BOQ Pricing_2018-01-08'!C116</f>
        <v>Thrust boring/directional drilling and installation of 1 x 110mm HDPE duct Class 6 or higher in normal soil (LA supply the Drill pipe and do the scanning)</v>
      </c>
      <c r="D16" s="298" t="str">
        <f>'Master BOQ Pricing_2018-01-08'!D116</f>
        <v>m</v>
      </c>
      <c r="E16" s="286">
        <f>'Master BOQ Pricing_2018-01-08'!E116</f>
        <v>250</v>
      </c>
      <c r="F16" s="299">
        <f>'Infra Build BOQ'!J116</f>
        <v>0</v>
      </c>
      <c r="G16" s="300">
        <f>'Infra Build BOQ'!K116</f>
        <v>0</v>
      </c>
      <c r="H16" s="299">
        <f>'Infra Build BOQ'!T116</f>
        <v>0</v>
      </c>
      <c r="I16" s="301">
        <f>'Infra Build BOQ'!U116</f>
        <v>0</v>
      </c>
      <c r="J16" s="302">
        <f>'Infra Build BOQ'!V116</f>
        <v>0</v>
      </c>
      <c r="K16" s="303">
        <f>'Infra Build BOQ'!W116</f>
        <v>0</v>
      </c>
      <c r="L16" s="299">
        <f>'Infra Build BOQ'!X116</f>
        <v>0</v>
      </c>
      <c r="M16" s="301">
        <f>'Infra Build BOQ'!Y116</f>
        <v>0</v>
      </c>
      <c r="N16" s="302">
        <f>'Infra Build BOQ'!Z116</f>
        <v>0</v>
      </c>
      <c r="O16" s="303">
        <f>'Infra Build BOQ'!AA116</f>
        <v>0</v>
      </c>
      <c r="P16" s="299">
        <f>'Infra Build BOQ'!AB116</f>
        <v>0</v>
      </c>
      <c r="Q16" s="301">
        <f>'Infra Build BOQ'!AC116</f>
        <v>0</v>
      </c>
      <c r="R16" s="302">
        <f>'Infra Build BOQ'!AD116</f>
        <v>0</v>
      </c>
      <c r="S16" s="303">
        <f>'Infra Build BOQ'!AE116</f>
        <v>0</v>
      </c>
      <c r="T16" s="299">
        <f>'Infra Build BOQ'!AF116</f>
        <v>0</v>
      </c>
      <c r="U16" s="301">
        <f>'Infra Build BOQ'!AG116</f>
        <v>0</v>
      </c>
      <c r="V16" s="302">
        <f>'Infra Build BOQ'!AH116</f>
        <v>0</v>
      </c>
      <c r="W16" s="303">
        <f>'Infra Build BOQ'!AI116</f>
        <v>0</v>
      </c>
      <c r="X16" s="301">
        <f>'Infra Build BOQ'!AJ116</f>
        <v>0</v>
      </c>
      <c r="Y16" s="302">
        <f>'Infra Build BOQ'!AK116</f>
        <v>0</v>
      </c>
      <c r="Z16" s="303">
        <f>'Infra Build BOQ'!AL116</f>
        <v>0</v>
      </c>
    </row>
    <row r="17" spans="1:26" s="296" customFormat="1" ht="24">
      <c r="B17" s="297">
        <f>'Master BOQ Pricing_2018-01-08'!B117</f>
        <v>7.02</v>
      </c>
      <c r="C17" s="165" t="str">
        <f>'Master BOQ Pricing_2018-01-08'!C117</f>
        <v>Thrust boring/directional drilling and installation of 1 x 110mm HDPE duct Class 6 or higher in normal soil (SP supply the Drill pipe and do his own scanning)</v>
      </c>
      <c r="D17" s="298" t="str">
        <f>'Master BOQ Pricing_2018-01-08'!D117</f>
        <v>m</v>
      </c>
      <c r="E17" s="286">
        <f>'Master BOQ Pricing_2018-01-08'!E117</f>
        <v>500</v>
      </c>
      <c r="F17" s="299">
        <f>'Infra Build BOQ'!J117</f>
        <v>0</v>
      </c>
      <c r="G17" s="300">
        <f>'Infra Build BOQ'!K117</f>
        <v>0</v>
      </c>
      <c r="H17" s="299">
        <f>'Infra Build BOQ'!T117</f>
        <v>0</v>
      </c>
      <c r="I17" s="301">
        <f>'Infra Build BOQ'!U117</f>
        <v>0</v>
      </c>
      <c r="J17" s="302">
        <f>'Infra Build BOQ'!V117</f>
        <v>0</v>
      </c>
      <c r="K17" s="303">
        <f>'Infra Build BOQ'!W117</f>
        <v>0</v>
      </c>
      <c r="L17" s="299">
        <f>'Infra Build BOQ'!X117</f>
        <v>0</v>
      </c>
      <c r="M17" s="301">
        <f>'Infra Build BOQ'!Y117</f>
        <v>0</v>
      </c>
      <c r="N17" s="302">
        <f>'Infra Build BOQ'!Z117</f>
        <v>0</v>
      </c>
      <c r="O17" s="303">
        <f>'Infra Build BOQ'!AA117</f>
        <v>0</v>
      </c>
      <c r="P17" s="299">
        <f>'Infra Build BOQ'!AB117</f>
        <v>0</v>
      </c>
      <c r="Q17" s="301">
        <f>'Infra Build BOQ'!AC117</f>
        <v>0</v>
      </c>
      <c r="R17" s="302">
        <f>'Infra Build BOQ'!AD117</f>
        <v>0</v>
      </c>
      <c r="S17" s="303">
        <f>'Infra Build BOQ'!AE117</f>
        <v>0</v>
      </c>
      <c r="T17" s="299">
        <f>'Infra Build BOQ'!AF117</f>
        <v>0</v>
      </c>
      <c r="U17" s="301">
        <f>'Infra Build BOQ'!AG117</f>
        <v>0</v>
      </c>
      <c r="V17" s="302">
        <f>'Infra Build BOQ'!AH117</f>
        <v>0</v>
      </c>
      <c r="W17" s="303">
        <f>'Infra Build BOQ'!AI117</f>
        <v>0</v>
      </c>
      <c r="X17" s="301">
        <f>'Infra Build BOQ'!AJ117</f>
        <v>0</v>
      </c>
      <c r="Y17" s="302">
        <f>'Infra Build BOQ'!AK117</f>
        <v>0</v>
      </c>
      <c r="Z17" s="303">
        <f>'Infra Build BOQ'!AL117</f>
        <v>0</v>
      </c>
    </row>
    <row r="18" spans="1:26" s="296" customFormat="1">
      <c r="B18" s="297">
        <f>'Master BOQ Pricing_2018-01-08'!B118</f>
        <v>7.03</v>
      </c>
      <c r="C18" s="165" t="str">
        <f>'Master BOQ Pricing_2018-01-08'!C118</f>
        <v>Thrust boring/directional drilling and installation of 2 x 110mm HDPE duct Class 6 or higher in normal soil</v>
      </c>
      <c r="D18" s="298" t="str">
        <f>'Master BOQ Pricing_2018-01-08'!D118</f>
        <v>m</v>
      </c>
      <c r="E18" s="286">
        <f>'Master BOQ Pricing_2018-01-08'!E118</f>
        <v>900</v>
      </c>
      <c r="F18" s="299">
        <f>'Infra Build BOQ'!J118</f>
        <v>0</v>
      </c>
      <c r="G18" s="300">
        <f>'Infra Build BOQ'!K118</f>
        <v>0</v>
      </c>
      <c r="H18" s="299">
        <f>'Infra Build BOQ'!T118</f>
        <v>0</v>
      </c>
      <c r="I18" s="301">
        <f>'Infra Build BOQ'!U118</f>
        <v>0</v>
      </c>
      <c r="J18" s="302">
        <f>'Infra Build BOQ'!V118</f>
        <v>0</v>
      </c>
      <c r="K18" s="303">
        <f>'Infra Build BOQ'!W118</f>
        <v>0</v>
      </c>
      <c r="L18" s="299">
        <f>'Infra Build BOQ'!X118</f>
        <v>0</v>
      </c>
      <c r="M18" s="301">
        <f>'Infra Build BOQ'!Y118</f>
        <v>0</v>
      </c>
      <c r="N18" s="302">
        <f>'Infra Build BOQ'!Z118</f>
        <v>0</v>
      </c>
      <c r="O18" s="303">
        <f>'Infra Build BOQ'!AA118</f>
        <v>0</v>
      </c>
      <c r="P18" s="299">
        <f>'Infra Build BOQ'!AB118</f>
        <v>0</v>
      </c>
      <c r="Q18" s="301">
        <f>'Infra Build BOQ'!AC118</f>
        <v>0</v>
      </c>
      <c r="R18" s="302">
        <f>'Infra Build BOQ'!AD118</f>
        <v>0</v>
      </c>
      <c r="S18" s="303">
        <f>'Infra Build BOQ'!AE118</f>
        <v>0</v>
      </c>
      <c r="T18" s="299">
        <f>'Infra Build BOQ'!AF118</f>
        <v>0</v>
      </c>
      <c r="U18" s="301">
        <f>'Infra Build BOQ'!AG118</f>
        <v>0</v>
      </c>
      <c r="V18" s="302">
        <f>'Infra Build BOQ'!AH118</f>
        <v>0</v>
      </c>
      <c r="W18" s="303">
        <f>'Infra Build BOQ'!AI118</f>
        <v>0</v>
      </c>
      <c r="X18" s="301">
        <f>'Infra Build BOQ'!AJ118</f>
        <v>0</v>
      </c>
      <c r="Y18" s="302">
        <f>'Infra Build BOQ'!AK118</f>
        <v>0</v>
      </c>
      <c r="Z18" s="303">
        <f>'Infra Build BOQ'!AL118</f>
        <v>0</v>
      </c>
    </row>
    <row r="19" spans="1:26" s="296" customFormat="1">
      <c r="B19" s="297">
        <f>'Master BOQ Pricing_2018-01-08'!B119</f>
        <v>7.04</v>
      </c>
      <c r="C19" s="165" t="str">
        <f>'Master BOQ Pricing_2018-01-08'!C119</f>
        <v>Thrust boring/directional drilling and installation of 1 x 110mm HDPE duct Class 6 or higher in intermediate rock</v>
      </c>
      <c r="D19" s="298" t="str">
        <f>'Master BOQ Pricing_2018-01-08'!D119</f>
        <v>m</v>
      </c>
      <c r="E19" s="286">
        <f>'Master BOQ Pricing_2018-01-08'!E119</f>
        <v>730</v>
      </c>
      <c r="F19" s="299">
        <f>'Infra Build BOQ'!J119</f>
        <v>0</v>
      </c>
      <c r="G19" s="300">
        <f>'Infra Build BOQ'!K119</f>
        <v>0</v>
      </c>
      <c r="H19" s="299">
        <f>'Infra Build BOQ'!T119</f>
        <v>0</v>
      </c>
      <c r="I19" s="301">
        <f>'Infra Build BOQ'!U119</f>
        <v>0</v>
      </c>
      <c r="J19" s="302">
        <f>'Infra Build BOQ'!V119</f>
        <v>0</v>
      </c>
      <c r="K19" s="303">
        <f>'Infra Build BOQ'!W119</f>
        <v>0</v>
      </c>
      <c r="L19" s="299">
        <f>'Infra Build BOQ'!X119</f>
        <v>0</v>
      </c>
      <c r="M19" s="301">
        <f>'Infra Build BOQ'!Y119</f>
        <v>0</v>
      </c>
      <c r="N19" s="302">
        <f>'Infra Build BOQ'!Z119</f>
        <v>0</v>
      </c>
      <c r="O19" s="303">
        <f>'Infra Build BOQ'!AA119</f>
        <v>0</v>
      </c>
      <c r="P19" s="299">
        <f>'Infra Build BOQ'!AB119</f>
        <v>0</v>
      </c>
      <c r="Q19" s="301">
        <f>'Infra Build BOQ'!AC119</f>
        <v>0</v>
      </c>
      <c r="R19" s="302">
        <f>'Infra Build BOQ'!AD119</f>
        <v>0</v>
      </c>
      <c r="S19" s="303">
        <f>'Infra Build BOQ'!AE119</f>
        <v>0</v>
      </c>
      <c r="T19" s="299">
        <f>'Infra Build BOQ'!AF119</f>
        <v>0</v>
      </c>
      <c r="U19" s="301">
        <f>'Infra Build BOQ'!AG119</f>
        <v>0</v>
      </c>
      <c r="V19" s="302">
        <f>'Infra Build BOQ'!AH119</f>
        <v>0</v>
      </c>
      <c r="W19" s="303">
        <f>'Infra Build BOQ'!AI119</f>
        <v>0</v>
      </c>
      <c r="X19" s="301">
        <f>'Infra Build BOQ'!AJ119</f>
        <v>0</v>
      </c>
      <c r="Y19" s="302">
        <f>'Infra Build BOQ'!AK119</f>
        <v>0</v>
      </c>
      <c r="Z19" s="303">
        <f>'Infra Build BOQ'!AL119</f>
        <v>0</v>
      </c>
    </row>
    <row r="20" spans="1:26" s="296" customFormat="1">
      <c r="B20" s="297">
        <f>'Master BOQ Pricing_2018-01-08'!B120</f>
        <v>7.05</v>
      </c>
      <c r="C20" s="165" t="str">
        <f>'Master BOQ Pricing_2018-01-08'!C120</f>
        <v>Thrust boring/directional drilling and installation of 2 x 110mm HDPE duct Class 6 or higher in intermediate rock</v>
      </c>
      <c r="D20" s="298" t="str">
        <f>'Master BOQ Pricing_2018-01-08'!D120</f>
        <v>m</v>
      </c>
      <c r="E20" s="286">
        <f>'Master BOQ Pricing_2018-01-08'!E120</f>
        <v>1200</v>
      </c>
      <c r="F20" s="299">
        <f>'Infra Build BOQ'!J120</f>
        <v>0</v>
      </c>
      <c r="G20" s="300">
        <f>'Infra Build BOQ'!K120</f>
        <v>0</v>
      </c>
      <c r="H20" s="299">
        <f>'Infra Build BOQ'!T120</f>
        <v>0</v>
      </c>
      <c r="I20" s="301">
        <f>'Infra Build BOQ'!U120</f>
        <v>0</v>
      </c>
      <c r="J20" s="302">
        <f>'Infra Build BOQ'!V120</f>
        <v>0</v>
      </c>
      <c r="K20" s="303">
        <f>'Infra Build BOQ'!W120</f>
        <v>0</v>
      </c>
      <c r="L20" s="299">
        <f>'Infra Build BOQ'!X120</f>
        <v>0</v>
      </c>
      <c r="M20" s="301">
        <f>'Infra Build BOQ'!Y120</f>
        <v>0</v>
      </c>
      <c r="N20" s="302">
        <f>'Infra Build BOQ'!Z120</f>
        <v>0</v>
      </c>
      <c r="O20" s="303">
        <f>'Infra Build BOQ'!AA120</f>
        <v>0</v>
      </c>
      <c r="P20" s="299">
        <f>'Infra Build BOQ'!AB120</f>
        <v>0</v>
      </c>
      <c r="Q20" s="301">
        <f>'Infra Build BOQ'!AC120</f>
        <v>0</v>
      </c>
      <c r="R20" s="302">
        <f>'Infra Build BOQ'!AD120</f>
        <v>0</v>
      </c>
      <c r="S20" s="303">
        <f>'Infra Build BOQ'!AE120</f>
        <v>0</v>
      </c>
      <c r="T20" s="299">
        <f>'Infra Build BOQ'!AF120</f>
        <v>0</v>
      </c>
      <c r="U20" s="301">
        <f>'Infra Build BOQ'!AG120</f>
        <v>0</v>
      </c>
      <c r="V20" s="302">
        <f>'Infra Build BOQ'!AH120</f>
        <v>0</v>
      </c>
      <c r="W20" s="303">
        <f>'Infra Build BOQ'!AI120</f>
        <v>0</v>
      </c>
      <c r="X20" s="301">
        <f>'Infra Build BOQ'!AJ120</f>
        <v>0</v>
      </c>
      <c r="Y20" s="302">
        <f>'Infra Build BOQ'!AK120</f>
        <v>0</v>
      </c>
      <c r="Z20" s="303">
        <f>'Infra Build BOQ'!AL120</f>
        <v>0</v>
      </c>
    </row>
    <row r="21" spans="1:26" s="296" customFormat="1">
      <c r="B21" s="297">
        <f>'Master BOQ Pricing_2018-01-08'!B121</f>
        <v>7.06</v>
      </c>
      <c r="C21" s="165" t="str">
        <f>'Master BOQ Pricing_2018-01-08'!C121</f>
        <v>Supply and install of pipe and accessories for 1-way bridge attachment for bridge crossing</v>
      </c>
      <c r="D21" s="298" t="str">
        <f>'Master BOQ Pricing_2018-01-08'!D121</f>
        <v>m</v>
      </c>
      <c r="E21" s="286">
        <f>'Master BOQ Pricing_2018-01-08'!E121</f>
        <v>449.2</v>
      </c>
      <c r="F21" s="299">
        <f>'Infra Build BOQ'!J121</f>
        <v>0</v>
      </c>
      <c r="G21" s="300">
        <f>'Infra Build BOQ'!K121</f>
        <v>0</v>
      </c>
      <c r="H21" s="299">
        <f>'Infra Build BOQ'!T121</f>
        <v>0</v>
      </c>
      <c r="I21" s="301">
        <f>'Infra Build BOQ'!U121</f>
        <v>0</v>
      </c>
      <c r="J21" s="302">
        <f>'Infra Build BOQ'!V121</f>
        <v>0</v>
      </c>
      <c r="K21" s="303">
        <f>'Infra Build BOQ'!W121</f>
        <v>0</v>
      </c>
      <c r="L21" s="299">
        <f>'Infra Build BOQ'!X121</f>
        <v>0</v>
      </c>
      <c r="M21" s="301">
        <f>'Infra Build BOQ'!Y121</f>
        <v>0</v>
      </c>
      <c r="N21" s="302">
        <f>'Infra Build BOQ'!Z121</f>
        <v>0</v>
      </c>
      <c r="O21" s="303">
        <f>'Infra Build BOQ'!AA121</f>
        <v>0</v>
      </c>
      <c r="P21" s="299">
        <f>'Infra Build BOQ'!AB121</f>
        <v>0</v>
      </c>
      <c r="Q21" s="301">
        <f>'Infra Build BOQ'!AC121</f>
        <v>0</v>
      </c>
      <c r="R21" s="302">
        <f>'Infra Build BOQ'!AD121</f>
        <v>0</v>
      </c>
      <c r="S21" s="303">
        <f>'Infra Build BOQ'!AE121</f>
        <v>0</v>
      </c>
      <c r="T21" s="299">
        <f>'Infra Build BOQ'!AF121</f>
        <v>0</v>
      </c>
      <c r="U21" s="301">
        <f>'Infra Build BOQ'!AG121</f>
        <v>0</v>
      </c>
      <c r="V21" s="302">
        <f>'Infra Build BOQ'!AH121</f>
        <v>0</v>
      </c>
      <c r="W21" s="303">
        <f>'Infra Build BOQ'!AI121</f>
        <v>0</v>
      </c>
      <c r="X21" s="301">
        <f>'Infra Build BOQ'!AJ121</f>
        <v>0</v>
      </c>
      <c r="Y21" s="302">
        <f>'Infra Build BOQ'!AK121</f>
        <v>0</v>
      </c>
      <c r="Z21" s="303">
        <f>'Infra Build BOQ'!AL121</f>
        <v>0</v>
      </c>
    </row>
    <row r="22" spans="1:26" s="296" customFormat="1">
      <c r="B22" s="297">
        <f>'Master BOQ Pricing_2018-01-08'!B122</f>
        <v>7.07</v>
      </c>
      <c r="C22" s="165" t="str">
        <f>'Master BOQ Pricing_2018-01-08'!C122</f>
        <v>Scanning For Directional Drilling</v>
      </c>
      <c r="D22" s="298" t="str">
        <f>'Master BOQ Pricing_2018-01-08'!D122</f>
        <v>m</v>
      </c>
      <c r="E22" s="286">
        <f>'Master BOQ Pricing_2018-01-08'!E122</f>
        <v>77.5</v>
      </c>
      <c r="F22" s="299">
        <f>'Infra Build BOQ'!J122</f>
        <v>0</v>
      </c>
      <c r="G22" s="300">
        <f>'Infra Build BOQ'!K122</f>
        <v>0</v>
      </c>
      <c r="H22" s="299">
        <f>'Infra Build BOQ'!T122</f>
        <v>0</v>
      </c>
      <c r="I22" s="301">
        <f>'Infra Build BOQ'!U122</f>
        <v>0</v>
      </c>
      <c r="J22" s="302">
        <f>'Infra Build BOQ'!V122</f>
        <v>0</v>
      </c>
      <c r="K22" s="303">
        <f>'Infra Build BOQ'!W122</f>
        <v>0</v>
      </c>
      <c r="L22" s="299">
        <f>'Infra Build BOQ'!X122</f>
        <v>0</v>
      </c>
      <c r="M22" s="301">
        <f>'Infra Build BOQ'!Y122</f>
        <v>0</v>
      </c>
      <c r="N22" s="302">
        <f>'Infra Build BOQ'!Z122</f>
        <v>0</v>
      </c>
      <c r="O22" s="303">
        <f>'Infra Build BOQ'!AA122</f>
        <v>0</v>
      </c>
      <c r="P22" s="299">
        <f>'Infra Build BOQ'!AB122</f>
        <v>0</v>
      </c>
      <c r="Q22" s="301">
        <f>'Infra Build BOQ'!AC122</f>
        <v>0</v>
      </c>
      <c r="R22" s="302">
        <f>'Infra Build BOQ'!AD122</f>
        <v>0</v>
      </c>
      <c r="S22" s="303">
        <f>'Infra Build BOQ'!AE122</f>
        <v>0</v>
      </c>
      <c r="T22" s="299">
        <f>'Infra Build BOQ'!AF122</f>
        <v>0</v>
      </c>
      <c r="U22" s="301">
        <f>'Infra Build BOQ'!AG122</f>
        <v>0</v>
      </c>
      <c r="V22" s="302">
        <f>'Infra Build BOQ'!AH122</f>
        <v>0</v>
      </c>
      <c r="W22" s="303">
        <f>'Infra Build BOQ'!AI122</f>
        <v>0</v>
      </c>
      <c r="X22" s="301">
        <f>'Infra Build BOQ'!AJ122</f>
        <v>0</v>
      </c>
      <c r="Y22" s="302">
        <f>'Infra Build BOQ'!AK122</f>
        <v>0</v>
      </c>
      <c r="Z22" s="303">
        <f>'Infra Build BOQ'!AL122</f>
        <v>0</v>
      </c>
    </row>
    <row r="23" spans="1:26" s="296" customFormat="1" ht="25.95" customHeight="1">
      <c r="B23" s="297">
        <f>'Master BOQ Pricing_2018-01-08'!B123</f>
        <v>7.08</v>
      </c>
      <c r="C23" s="165" t="str">
        <f>'Master BOQ Pricing_2018-01-08'!C123</f>
        <v>Soil displacement / Thrust boring and installation of 1 x 50/43mm sub duct Class 6 or higher in normal or intermediate soil</v>
      </c>
      <c r="D23" s="298" t="str">
        <f>'Master BOQ Pricing_2018-01-08'!D123</f>
        <v>m</v>
      </c>
      <c r="E23" s="286">
        <f>'Master BOQ Pricing_2018-01-08'!E123</f>
        <v>72</v>
      </c>
      <c r="F23" s="299">
        <f>'Infra Build BOQ'!J123</f>
        <v>0</v>
      </c>
      <c r="G23" s="300">
        <f>'Infra Build BOQ'!K123</f>
        <v>0</v>
      </c>
      <c r="H23" s="299">
        <f>'Infra Build BOQ'!T123</f>
        <v>0</v>
      </c>
      <c r="I23" s="301">
        <f>'Infra Build BOQ'!U123</f>
        <v>0</v>
      </c>
      <c r="J23" s="302">
        <f>'Infra Build BOQ'!V123</f>
        <v>0</v>
      </c>
      <c r="K23" s="303">
        <f>'Infra Build BOQ'!W123</f>
        <v>0</v>
      </c>
      <c r="L23" s="299">
        <f>'Infra Build BOQ'!X123</f>
        <v>0</v>
      </c>
      <c r="M23" s="301">
        <f>'Infra Build BOQ'!Y123</f>
        <v>0</v>
      </c>
      <c r="N23" s="302">
        <f>'Infra Build BOQ'!Z123</f>
        <v>0</v>
      </c>
      <c r="O23" s="303">
        <f>'Infra Build BOQ'!AA123</f>
        <v>0</v>
      </c>
      <c r="P23" s="299">
        <f>'Infra Build BOQ'!AB123</f>
        <v>0</v>
      </c>
      <c r="Q23" s="301">
        <f>'Infra Build BOQ'!AC123</f>
        <v>0</v>
      </c>
      <c r="R23" s="302">
        <f>'Infra Build BOQ'!AD123</f>
        <v>0</v>
      </c>
      <c r="S23" s="303">
        <f>'Infra Build BOQ'!AE123</f>
        <v>0</v>
      </c>
      <c r="T23" s="299">
        <f>'Infra Build BOQ'!AF123</f>
        <v>0</v>
      </c>
      <c r="U23" s="301">
        <f>'Infra Build BOQ'!AG123</f>
        <v>0</v>
      </c>
      <c r="V23" s="302">
        <f>'Infra Build BOQ'!AH123</f>
        <v>0</v>
      </c>
      <c r="W23" s="303">
        <f>'Infra Build BOQ'!AI123</f>
        <v>0</v>
      </c>
      <c r="X23" s="301">
        <f>'Infra Build BOQ'!AJ123</f>
        <v>0</v>
      </c>
      <c r="Y23" s="302">
        <f>'Infra Build BOQ'!AK123</f>
        <v>0</v>
      </c>
      <c r="Z23" s="303">
        <f>'Infra Build BOQ'!AL123</f>
        <v>0</v>
      </c>
    </row>
    <row r="24" spans="1:26" s="296" customFormat="1">
      <c r="B24" s="304"/>
      <c r="C24" s="305"/>
      <c r="D24" s="306"/>
      <c r="E24" s="307"/>
      <c r="F24" s="291"/>
      <c r="G24" s="292"/>
      <c r="H24" s="291"/>
      <c r="I24" s="293"/>
      <c r="J24" s="294"/>
      <c r="K24" s="295"/>
      <c r="L24" s="291"/>
      <c r="M24" s="293"/>
      <c r="N24" s="294"/>
      <c r="O24" s="295"/>
      <c r="P24" s="291"/>
      <c r="Q24" s="293"/>
      <c r="R24" s="294"/>
      <c r="S24" s="295"/>
      <c r="T24" s="291"/>
      <c r="U24" s="293"/>
      <c r="V24" s="294"/>
      <c r="W24" s="295"/>
      <c r="X24" s="293"/>
      <c r="Y24" s="294"/>
      <c r="Z24" s="295"/>
    </row>
    <row r="25" spans="1:26" s="149" customFormat="1" ht="18.600000000000001" thickBot="1">
      <c r="B25" s="145"/>
      <c r="C25" s="161"/>
      <c r="D25" s="145"/>
      <c r="E25" s="144" t="s">
        <v>5</v>
      </c>
      <c r="F25" s="145"/>
      <c r="G25" s="146">
        <f>SUM(G13:G24)</f>
        <v>0</v>
      </c>
      <c r="H25" s="145"/>
      <c r="I25" s="147"/>
      <c r="J25" s="148">
        <f>SUM(J13:J24)</f>
        <v>0</v>
      </c>
      <c r="K25" s="145"/>
      <c r="L25" s="145"/>
      <c r="M25" s="147"/>
      <c r="N25" s="148">
        <f>SUM(N13:N24)</f>
        <v>0</v>
      </c>
      <c r="R25" s="150">
        <f>SUM(R13:R24)</f>
        <v>0</v>
      </c>
      <c r="V25" s="150">
        <f>SUM(V13:V24)</f>
        <v>0</v>
      </c>
      <c r="Y25" s="150">
        <f>SUM(Y13:Y24)</f>
        <v>0</v>
      </c>
    </row>
    <row r="26" spans="1:26" s="151" customFormat="1" ht="14.4" thickTop="1">
      <c r="B26" s="5"/>
      <c r="C26" s="6"/>
      <c r="D26" s="5"/>
      <c r="E26" s="7"/>
      <c r="F26" s="5"/>
      <c r="G26" s="5"/>
      <c r="H26" s="5"/>
      <c r="I26" s="5"/>
      <c r="J26" s="52"/>
      <c r="K26" s="5"/>
    </row>
    <row r="27" spans="1:26" s="151" customFormat="1" ht="14.4">
      <c r="A27" s="152"/>
      <c r="B27" s="152"/>
      <c r="C27" s="152"/>
      <c r="D27" s="152"/>
      <c r="E27" s="152"/>
      <c r="F27" s="153"/>
      <c r="G27" s="153"/>
      <c r="H27" s="154" t="s">
        <v>220</v>
      </c>
      <c r="I27" s="154"/>
      <c r="J27" s="155">
        <f>J25-G25</f>
        <v>0</v>
      </c>
      <c r="K27" s="154"/>
      <c r="L27" s="154" t="s">
        <v>222</v>
      </c>
      <c r="M27" s="154"/>
      <c r="N27" s="155">
        <f>N25-J25</f>
        <v>0</v>
      </c>
      <c r="O27" s="154"/>
      <c r="P27" s="154" t="s">
        <v>224</v>
      </c>
      <c r="Q27" s="154"/>
      <c r="R27" s="155">
        <f>R25-N25</f>
        <v>0</v>
      </c>
      <c r="S27" s="154"/>
      <c r="T27" s="154" t="s">
        <v>226</v>
      </c>
      <c r="U27" s="154"/>
      <c r="V27" s="155">
        <f>V25-R25</f>
        <v>0</v>
      </c>
      <c r="W27" s="154"/>
      <c r="X27" s="154" t="s">
        <v>228</v>
      </c>
      <c r="Y27" s="155">
        <f>Y25-G25</f>
        <v>0</v>
      </c>
    </row>
    <row r="28" spans="1:26" s="158" customFormat="1" ht="18">
      <c r="A28" s="162"/>
      <c r="B28" s="162"/>
      <c r="C28" s="156"/>
      <c r="D28" s="156"/>
      <c r="E28" s="156"/>
      <c r="F28" s="151"/>
      <c r="G28" s="151"/>
      <c r="H28" s="154" t="s">
        <v>221</v>
      </c>
      <c r="I28" s="154"/>
      <c r="J28" s="157" t="e">
        <f>J27/G25</f>
        <v>#DIV/0!</v>
      </c>
      <c r="K28" s="154"/>
      <c r="L28" s="154" t="s">
        <v>223</v>
      </c>
      <c r="M28" s="154"/>
      <c r="N28" s="157" t="e">
        <f>N27/J25</f>
        <v>#DIV/0!</v>
      </c>
      <c r="O28" s="154"/>
      <c r="P28" s="154" t="s">
        <v>225</v>
      </c>
      <c r="Q28" s="154"/>
      <c r="R28" s="157" t="e">
        <f>R27/N25</f>
        <v>#DIV/0!</v>
      </c>
      <c r="S28" s="154"/>
      <c r="T28" s="154" t="s">
        <v>227</v>
      </c>
      <c r="U28" s="154"/>
      <c r="V28" s="157" t="e">
        <f>V27/R25</f>
        <v>#DIV/0!</v>
      </c>
      <c r="W28" s="154"/>
      <c r="X28" s="154" t="s">
        <v>229</v>
      </c>
      <c r="Y28" s="157" t="e">
        <f>Y27/G25</f>
        <v>#DIV/0!</v>
      </c>
    </row>
    <row r="29" spans="1:26" s="10" customFormat="1" ht="18">
      <c r="A29" s="20"/>
      <c r="B29" s="20"/>
      <c r="C29" s="20"/>
      <c r="D29" s="20"/>
      <c r="E29" s="20"/>
      <c r="F29" s="20"/>
      <c r="G29" s="20"/>
      <c r="H29" s="20"/>
      <c r="I29" s="20"/>
    </row>
    <row r="30" spans="1:26" ht="18">
      <c r="A30" s="10"/>
      <c r="B30" s="10"/>
      <c r="C30" s="11"/>
      <c r="D30" s="11"/>
      <c r="E30" s="11"/>
      <c r="H30" s="10"/>
      <c r="I30" s="10"/>
    </row>
    <row r="31" spans="1:26" ht="18">
      <c r="A31" s="10"/>
      <c r="B31" s="10"/>
      <c r="C31" s="11"/>
      <c r="D31" s="1188"/>
      <c r="E31" s="1188"/>
      <c r="H31" s="10"/>
      <c r="I31" s="10"/>
    </row>
    <row r="32" spans="1:26" ht="18">
      <c r="A32" s="10"/>
      <c r="B32" s="10"/>
      <c r="C32" s="11"/>
      <c r="D32" s="1188"/>
      <c r="E32" s="1188"/>
      <c r="H32" s="10"/>
      <c r="I32" s="10"/>
    </row>
  </sheetData>
  <sheetProtection algorithmName="SHA-512" hashValue="DJn1ljvPo9inGFhiyg90YhH6I3UQm4x/PMDu/c7h4EytSpJAOJn65jLMlxcC4ZZl8uTVMjpW06sOekkJ0jp9Dg==" saltValue="mbxJlQGfsoBcSCR/NSpGFg==" spinCount="100000" sheet="1" objects="1" scenarios="1" formatCells="0" formatColumns="0" formatRows="0" insertHyperlinks="0" sort="0" autoFilter="0" pivotTables="0"/>
  <autoFilter ref="B12:Z12" xr:uid="{00000000-0009-0000-0000-00000D000000}"/>
  <mergeCells count="15">
    <mergeCell ref="B11:E11"/>
    <mergeCell ref="H11:Z11"/>
    <mergeCell ref="D31:E31"/>
    <mergeCell ref="D32:E32"/>
    <mergeCell ref="B2:G2"/>
    <mergeCell ref="D3:E3"/>
    <mergeCell ref="D4:E4"/>
    <mergeCell ref="H2:Z2"/>
    <mergeCell ref="F3:G3"/>
    <mergeCell ref="H3:Z10"/>
    <mergeCell ref="F4:G4"/>
    <mergeCell ref="F5:G5"/>
    <mergeCell ref="F6:G6"/>
    <mergeCell ref="D5:E5"/>
    <mergeCell ref="D6:E6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>
    <tabColor rgb="FF00B0F0"/>
    <pageSetUpPr fitToPage="1"/>
  </sheetPr>
  <dimension ref="A1:Z31"/>
  <sheetViews>
    <sheetView showGridLines="0" zoomScale="80" zoomScaleNormal="80" workbookViewId="0">
      <selection activeCell="C4" sqref="C4"/>
    </sheetView>
  </sheetViews>
  <sheetFormatPr defaultColWidth="4.44140625" defaultRowHeight="13.8"/>
  <cols>
    <col min="1" max="1" width="4.88671875" style="20" customWidth="1"/>
    <col min="2" max="2" width="25.109375" style="20" customWidth="1"/>
    <col min="3" max="3" width="94.33203125" style="20" customWidth="1"/>
    <col min="4" max="4" width="17.33203125" style="20" customWidth="1"/>
    <col min="5" max="5" width="12.6640625" style="20" customWidth="1"/>
    <col min="6" max="6" width="18.77734375" style="20" customWidth="1"/>
    <col min="7" max="7" width="22.77734375" style="20" customWidth="1"/>
    <col min="8" max="8" width="16" style="20" customWidth="1"/>
    <col min="9" max="9" width="18.77734375" style="20" customWidth="1"/>
    <col min="10" max="10" width="22.77734375" style="20" customWidth="1"/>
    <col min="11" max="11" width="20.77734375" style="20" customWidth="1"/>
    <col min="12" max="12" width="16" style="20" customWidth="1"/>
    <col min="13" max="13" width="18.77734375" style="20" customWidth="1"/>
    <col min="14" max="14" width="22.77734375" style="20" customWidth="1"/>
    <col min="15" max="15" width="20.77734375" style="20" customWidth="1"/>
    <col min="16" max="16" width="16" style="20" customWidth="1"/>
    <col min="17" max="17" width="18.77734375" style="20" customWidth="1"/>
    <col min="18" max="18" width="22.77734375" style="20" customWidth="1"/>
    <col min="19" max="19" width="20.77734375" style="20" customWidth="1"/>
    <col min="20" max="20" width="16" style="20" customWidth="1"/>
    <col min="21" max="21" width="18.77734375" style="20" customWidth="1"/>
    <col min="22" max="22" width="22.77734375" style="20" customWidth="1"/>
    <col min="23" max="23" width="20.77734375" style="20" customWidth="1"/>
    <col min="24" max="24" width="18.77734375" style="20" customWidth="1"/>
    <col min="25" max="25" width="22.77734375" style="20" customWidth="1"/>
    <col min="26" max="26" width="20.77734375" style="20" customWidth="1"/>
    <col min="27" max="16384" width="4.44140625" style="20"/>
  </cols>
  <sheetData>
    <row r="1" spans="1:26" ht="16.2" thickBot="1">
      <c r="A1" s="25" t="s">
        <v>117</v>
      </c>
      <c r="B1" s="26" t="str">
        <f>'Master BOQ Pricing_2018-01-08'!B1</f>
        <v>To Be viewed in conjunction with BOS_000-MS-BO-010 Rev 5</v>
      </c>
      <c r="C1" s="27"/>
      <c r="D1" s="27"/>
      <c r="E1" s="27"/>
      <c r="F1" s="27"/>
      <c r="G1" s="27"/>
      <c r="H1" s="27"/>
    </row>
    <row r="2" spans="1:26" ht="21" thickBot="1">
      <c r="A2" s="27"/>
      <c r="B2" s="1133" t="str">
        <f>'Infra Build BOQ'!B2:I2</f>
        <v>77K0057591  /  77K0057591</v>
      </c>
      <c r="C2" s="1134"/>
      <c r="D2" s="1134"/>
      <c r="E2" s="1134"/>
      <c r="F2" s="110"/>
      <c r="G2" s="110"/>
      <c r="H2" s="1098"/>
      <c r="I2" s="1099"/>
      <c r="J2" s="1099"/>
      <c r="K2" s="1099"/>
      <c r="L2" s="1099"/>
      <c r="M2" s="1099"/>
      <c r="N2" s="1099"/>
      <c r="O2" s="1099"/>
      <c r="P2" s="1099"/>
      <c r="Q2" s="1099"/>
      <c r="R2" s="1099"/>
      <c r="S2" s="1099"/>
      <c r="T2" s="1099"/>
      <c r="U2" s="1099"/>
      <c r="V2" s="1099"/>
      <c r="W2" s="1099"/>
      <c r="X2" s="1099"/>
      <c r="Y2" s="1099"/>
      <c r="Z2" s="1100"/>
    </row>
    <row r="3" spans="1:26" ht="15.6">
      <c r="A3" s="27"/>
      <c r="B3" s="88" t="s">
        <v>1</v>
      </c>
      <c r="C3" s="178" t="str">
        <f>CONCATENATE('EXE Dashboard'!C4,"  /  ",'EXE Dashboard'!C5)</f>
        <v>77K0057591  /  77K0057591</v>
      </c>
      <c r="D3" s="1142" t="s">
        <v>362</v>
      </c>
      <c r="E3" s="1191"/>
      <c r="F3" s="1112">
        <f>'Infra Build BOQ'!F3</f>
        <v>0</v>
      </c>
      <c r="G3" s="1112"/>
      <c r="H3" s="1193" t="s">
        <v>279</v>
      </c>
      <c r="I3" s="1102"/>
      <c r="J3" s="1102"/>
      <c r="K3" s="1102"/>
      <c r="L3" s="1102"/>
      <c r="M3" s="1102"/>
      <c r="N3" s="1102"/>
      <c r="O3" s="1102"/>
      <c r="P3" s="1102"/>
      <c r="Q3" s="1102"/>
      <c r="R3" s="1102"/>
      <c r="S3" s="1102"/>
      <c r="T3" s="1102"/>
      <c r="U3" s="1102"/>
      <c r="V3" s="1102"/>
      <c r="W3" s="1102"/>
      <c r="X3" s="1102"/>
      <c r="Y3" s="1102"/>
      <c r="Z3" s="1103"/>
    </row>
    <row r="4" spans="1:26" ht="16.5" customHeight="1">
      <c r="A4" s="27"/>
      <c r="B4" s="89" t="s">
        <v>0</v>
      </c>
      <c r="C4" s="449" t="str">
        <f>'Infra Build BOQ'!C4</f>
        <v xml:space="preserve">Eletronic Communications Network (Pty) Ltd </v>
      </c>
      <c r="D4" s="1144" t="s">
        <v>2</v>
      </c>
      <c r="E4" s="1192"/>
      <c r="F4" s="1115" t="str">
        <f>'Infra Build BOQ'!F4</f>
        <v>Ethekwini</v>
      </c>
      <c r="G4" s="1115"/>
      <c r="H4" s="1194"/>
      <c r="I4" s="1104"/>
      <c r="J4" s="1104"/>
      <c r="K4" s="1104"/>
      <c r="L4" s="1104"/>
      <c r="M4" s="1104"/>
      <c r="N4" s="1104"/>
      <c r="O4" s="1104"/>
      <c r="P4" s="1104"/>
      <c r="Q4" s="1104"/>
      <c r="R4" s="1104"/>
      <c r="S4" s="1104"/>
      <c r="T4" s="1104"/>
      <c r="U4" s="1104"/>
      <c r="V4" s="1104"/>
      <c r="W4" s="1104"/>
      <c r="X4" s="1104"/>
      <c r="Y4" s="1104"/>
      <c r="Z4" s="1105"/>
    </row>
    <row r="5" spans="1:26" ht="16.5" customHeight="1">
      <c r="A5" s="27"/>
      <c r="B5" s="90" t="s">
        <v>437</v>
      </c>
      <c r="C5" s="449">
        <f>'MATERIAL REQUEST'!C4</f>
        <v>0</v>
      </c>
      <c r="D5" s="1144" t="s">
        <v>3</v>
      </c>
      <c r="E5" s="1192"/>
      <c r="F5" s="1118" t="str">
        <f>'Infra Build BOQ'!F5</f>
        <v>Date: 2023/08/25</v>
      </c>
      <c r="G5" s="1118"/>
      <c r="H5" s="1194"/>
      <c r="I5" s="1104"/>
      <c r="J5" s="1104"/>
      <c r="K5" s="1104"/>
      <c r="L5" s="1104"/>
      <c r="M5" s="1104"/>
      <c r="N5" s="1104"/>
      <c r="O5" s="1104"/>
      <c r="P5" s="1104"/>
      <c r="Q5" s="1104"/>
      <c r="R5" s="1104"/>
      <c r="S5" s="1104"/>
      <c r="T5" s="1104"/>
      <c r="U5" s="1104"/>
      <c r="V5" s="1104"/>
      <c r="W5" s="1104"/>
      <c r="X5" s="1104"/>
      <c r="Y5" s="1104"/>
      <c r="Z5" s="1105"/>
    </row>
    <row r="6" spans="1:26" ht="33" customHeight="1" thickBot="1">
      <c r="A6" s="27"/>
      <c r="B6" s="90" t="s">
        <v>230</v>
      </c>
      <c r="C6" s="450" t="s">
        <v>465</v>
      </c>
      <c r="D6" s="1144" t="s">
        <v>361</v>
      </c>
      <c r="E6" s="1192"/>
      <c r="F6" s="1196" t="str">
        <f>'Infra Build BOQ'!F6</f>
        <v>Phoenix Industrial Access PoP - ECN - Roots Dube Village</v>
      </c>
      <c r="G6" s="1196"/>
      <c r="H6" s="1194"/>
      <c r="I6" s="1104"/>
      <c r="J6" s="1104"/>
      <c r="K6" s="1104"/>
      <c r="L6" s="1104"/>
      <c r="M6" s="1104"/>
      <c r="N6" s="1104"/>
      <c r="O6" s="1104"/>
      <c r="P6" s="1104"/>
      <c r="Q6" s="1104"/>
      <c r="R6" s="1104"/>
      <c r="S6" s="1104"/>
      <c r="T6" s="1104"/>
      <c r="U6" s="1104"/>
      <c r="V6" s="1104"/>
      <c r="W6" s="1104"/>
      <c r="X6" s="1104"/>
      <c r="Y6" s="1104"/>
      <c r="Z6" s="1105"/>
    </row>
    <row r="7" spans="1:26" ht="17.25" customHeight="1" thickBot="1">
      <c r="A7" s="27"/>
      <c r="B7" s="128" t="s">
        <v>118</v>
      </c>
      <c r="C7" s="129"/>
      <c r="D7" s="130"/>
      <c r="E7" s="130"/>
      <c r="F7" s="75"/>
      <c r="G7" s="75"/>
      <c r="H7" s="1194"/>
      <c r="I7" s="1104"/>
      <c r="J7" s="1104"/>
      <c r="K7" s="1104"/>
      <c r="L7" s="1104"/>
      <c r="M7" s="1104"/>
      <c r="N7" s="1104"/>
      <c r="O7" s="1104"/>
      <c r="P7" s="1104"/>
      <c r="Q7" s="1104"/>
      <c r="R7" s="1104"/>
      <c r="S7" s="1104"/>
      <c r="T7" s="1104"/>
      <c r="U7" s="1104"/>
      <c r="V7" s="1104"/>
      <c r="W7" s="1104"/>
      <c r="X7" s="1104"/>
      <c r="Y7" s="1104"/>
      <c r="Z7" s="1105"/>
    </row>
    <row r="8" spans="1:26" ht="17.25" customHeight="1" thickBot="1">
      <c r="A8" s="27"/>
      <c r="B8" s="128"/>
      <c r="C8" s="129"/>
      <c r="D8" s="130"/>
      <c r="E8" s="130"/>
      <c r="F8" s="75"/>
      <c r="G8" s="75"/>
      <c r="H8" s="1194"/>
      <c r="I8" s="1104"/>
      <c r="J8" s="1104"/>
      <c r="K8" s="1104"/>
      <c r="L8" s="1104"/>
      <c r="M8" s="1104"/>
      <c r="N8" s="1104"/>
      <c r="O8" s="1104"/>
      <c r="P8" s="1104"/>
      <c r="Q8" s="1104"/>
      <c r="R8" s="1104"/>
      <c r="S8" s="1104"/>
      <c r="T8" s="1104"/>
      <c r="U8" s="1104"/>
      <c r="V8" s="1104"/>
      <c r="W8" s="1104"/>
      <c r="X8" s="1104"/>
      <c r="Y8" s="1104"/>
      <c r="Z8" s="1105"/>
    </row>
    <row r="9" spans="1:26" ht="17.25" customHeight="1" thickBot="1">
      <c r="A9" s="27"/>
      <c r="B9" s="128"/>
      <c r="C9" s="129"/>
      <c r="D9" s="130"/>
      <c r="E9" s="130"/>
      <c r="F9" s="75"/>
      <c r="G9" s="75"/>
      <c r="H9" s="1194"/>
      <c r="I9" s="1104"/>
      <c r="J9" s="1104"/>
      <c r="K9" s="1104"/>
      <c r="L9" s="1104"/>
      <c r="M9" s="1104"/>
      <c r="N9" s="1104"/>
      <c r="O9" s="1104"/>
      <c r="P9" s="1104"/>
      <c r="Q9" s="1104"/>
      <c r="R9" s="1104"/>
      <c r="S9" s="1104"/>
      <c r="T9" s="1104"/>
      <c r="U9" s="1104"/>
      <c r="V9" s="1104"/>
      <c r="W9" s="1104"/>
      <c r="X9" s="1104"/>
      <c r="Y9" s="1104"/>
      <c r="Z9" s="1105"/>
    </row>
    <row r="10" spans="1:26" ht="17.25" customHeight="1" thickBot="1">
      <c r="A10" s="27"/>
      <c r="B10" s="128"/>
      <c r="C10" s="133"/>
      <c r="D10" s="130"/>
      <c r="E10" s="130"/>
      <c r="F10" s="75"/>
      <c r="G10" s="75"/>
      <c r="H10" s="1195"/>
      <c r="I10" s="1107"/>
      <c r="J10" s="1107"/>
      <c r="K10" s="1107"/>
      <c r="L10" s="1107"/>
      <c r="M10" s="1107"/>
      <c r="N10" s="1107"/>
      <c r="O10" s="1107"/>
      <c r="P10" s="1107"/>
      <c r="Q10" s="1107"/>
      <c r="R10" s="1107"/>
      <c r="S10" s="1107"/>
      <c r="T10" s="1107"/>
      <c r="U10" s="1107"/>
      <c r="V10" s="1107"/>
      <c r="W10" s="1107"/>
      <c r="X10" s="1107"/>
      <c r="Y10" s="1107"/>
      <c r="Z10" s="1108"/>
    </row>
    <row r="11" spans="1:26" ht="18.600000000000001" thickBot="1">
      <c r="A11" s="27"/>
      <c r="B11" s="1189" t="s">
        <v>280</v>
      </c>
      <c r="C11" s="1190"/>
      <c r="D11" s="1190"/>
      <c r="E11" s="1190"/>
      <c r="F11" s="93"/>
      <c r="G11" s="93"/>
      <c r="H11" s="1078"/>
      <c r="I11" s="1079"/>
      <c r="J11" s="1079"/>
      <c r="K11" s="1079"/>
      <c r="L11" s="1079"/>
      <c r="M11" s="1079"/>
      <c r="N11" s="1079"/>
      <c r="O11" s="1079"/>
      <c r="P11" s="1079"/>
      <c r="Q11" s="1079"/>
      <c r="R11" s="1079"/>
      <c r="S11" s="1079"/>
      <c r="T11" s="1079"/>
      <c r="U11" s="1079"/>
      <c r="V11" s="1079"/>
      <c r="W11" s="1079"/>
      <c r="X11" s="1079"/>
      <c r="Y11" s="1079"/>
      <c r="Z11" s="1101"/>
    </row>
    <row r="12" spans="1:26" ht="29.4" thickBot="1">
      <c r="B12" s="251" t="s">
        <v>63</v>
      </c>
      <c r="C12" s="252" t="s">
        <v>4</v>
      </c>
      <c r="D12" s="251" t="s">
        <v>30</v>
      </c>
      <c r="E12" s="253" t="s">
        <v>64</v>
      </c>
      <c r="F12" s="76" t="s">
        <v>273</v>
      </c>
      <c r="G12" s="53" t="s">
        <v>271</v>
      </c>
      <c r="H12" s="60" t="s">
        <v>214</v>
      </c>
      <c r="I12" s="61" t="s">
        <v>211</v>
      </c>
      <c r="J12" s="62" t="s">
        <v>65</v>
      </c>
      <c r="K12" s="63" t="s">
        <v>212</v>
      </c>
      <c r="L12" s="57" t="s">
        <v>215</v>
      </c>
      <c r="M12" s="58" t="s">
        <v>211</v>
      </c>
      <c r="N12" s="59" t="s">
        <v>65</v>
      </c>
      <c r="O12" s="64" t="s">
        <v>212</v>
      </c>
      <c r="P12" s="65" t="s">
        <v>217</v>
      </c>
      <c r="Q12" s="66" t="s">
        <v>211</v>
      </c>
      <c r="R12" s="67" t="s">
        <v>65</v>
      </c>
      <c r="S12" s="68" t="s">
        <v>212</v>
      </c>
      <c r="T12" s="54" t="s">
        <v>216</v>
      </c>
      <c r="U12" s="55" t="s">
        <v>211</v>
      </c>
      <c r="V12" s="56" t="s">
        <v>65</v>
      </c>
      <c r="W12" s="69" t="s">
        <v>212</v>
      </c>
      <c r="X12" s="70" t="s">
        <v>218</v>
      </c>
      <c r="Y12" s="71" t="s">
        <v>65</v>
      </c>
      <c r="Z12" s="72" t="s">
        <v>212</v>
      </c>
    </row>
    <row r="13" spans="1:26">
      <c r="B13" s="234">
        <f>'Master BOQ Pricing_2018-01-08'!B14</f>
        <v>1</v>
      </c>
      <c r="C13" s="79" t="str">
        <f>'Master BOQ Pricing_2018-01-08'!C14</f>
        <v>MATERIAL MANAGEMENT</v>
      </c>
      <c r="D13" s="82"/>
      <c r="E13" s="113"/>
      <c r="F13" s="102"/>
      <c r="G13" s="105"/>
      <c r="H13" s="102"/>
      <c r="I13" s="114"/>
      <c r="J13" s="115"/>
      <c r="K13" s="105"/>
      <c r="L13" s="102"/>
      <c r="M13" s="114"/>
      <c r="N13" s="115"/>
      <c r="O13" s="105"/>
      <c r="P13" s="102"/>
      <c r="Q13" s="114"/>
      <c r="R13" s="115"/>
      <c r="S13" s="105"/>
      <c r="T13" s="102"/>
      <c r="U13" s="114"/>
      <c r="V13" s="115"/>
      <c r="W13" s="105"/>
      <c r="X13" s="114"/>
      <c r="Y13" s="115"/>
      <c r="Z13" s="105"/>
    </row>
    <row r="14" spans="1:26" ht="14.4">
      <c r="B14" s="124">
        <f>'Master BOQ Pricing_2018-01-08'!B15</f>
        <v>1.1000000000000001</v>
      </c>
      <c r="C14" s="78" t="str">
        <f>'Master BOQ Pricing_2018-01-08'!C15</f>
        <v>Collect and delivery of material to Site (&gt;60km) Per Site</v>
      </c>
      <c r="D14" s="92" t="str">
        <f>'Master BOQ Pricing_2018-01-08'!D15</f>
        <v>Per Site</v>
      </c>
      <c r="E14" s="256">
        <f>'Master BOQ Pricing_2018-01-08'!E15</f>
        <v>850</v>
      </c>
      <c r="F14" s="91">
        <f>'Infra Build BOQ'!L15</f>
        <v>0</v>
      </c>
      <c r="G14" s="106">
        <f>E14*F14</f>
        <v>0</v>
      </c>
      <c r="H14" s="511"/>
      <c r="I14" s="142">
        <f>F14+H14</f>
        <v>0</v>
      </c>
      <c r="J14" s="143">
        <f>$E$14*I14</f>
        <v>0</v>
      </c>
      <c r="K14" s="166">
        <f>'Infra Build BOQ'!W15</f>
        <v>0</v>
      </c>
      <c r="L14" s="511"/>
      <c r="M14" s="142">
        <f>I14+L14</f>
        <v>0</v>
      </c>
      <c r="N14" s="143">
        <f>$E$14*M14</f>
        <v>0</v>
      </c>
      <c r="O14" s="166">
        <f>'Infra Build BOQ'!AA15</f>
        <v>0</v>
      </c>
      <c r="P14" s="511"/>
      <c r="Q14" s="142">
        <f>M14+P14</f>
        <v>0</v>
      </c>
      <c r="R14" s="143">
        <f>$E$14*Q14</f>
        <v>0</v>
      </c>
      <c r="S14" s="166">
        <f>'Infra Build BOQ'!AE15</f>
        <v>0</v>
      </c>
      <c r="T14" s="511"/>
      <c r="U14" s="142">
        <f>Q14+T14</f>
        <v>0</v>
      </c>
      <c r="V14" s="143">
        <f>$E$14*U14</f>
        <v>0</v>
      </c>
      <c r="W14" s="166">
        <f>'Infra Build BOQ'!AI15</f>
        <v>0</v>
      </c>
      <c r="X14" s="511"/>
      <c r="Y14" s="143">
        <f>$E$14*X14</f>
        <v>0</v>
      </c>
      <c r="Z14" s="166">
        <f>'Infra Build BOQ'!AL15</f>
        <v>0</v>
      </c>
    </row>
    <row r="15" spans="1:26" s="151" customFormat="1">
      <c r="B15" s="234">
        <f>'Master BOQ Pricing_2018-01-08'!B81</f>
        <v>5</v>
      </c>
      <c r="C15" s="80" t="str">
        <f>'Master BOQ Pricing_2018-01-08'!C81</f>
        <v>SURFACE RE-INSTATEMENTS</v>
      </c>
      <c r="D15" s="83"/>
      <c r="E15" s="259"/>
      <c r="F15" s="123"/>
      <c r="G15" s="122"/>
      <c r="H15" s="123"/>
      <c r="I15" s="120"/>
      <c r="J15" s="121"/>
      <c r="K15" s="122"/>
      <c r="L15" s="123"/>
      <c r="M15" s="120"/>
      <c r="N15" s="121"/>
      <c r="O15" s="122"/>
      <c r="P15" s="123"/>
      <c r="Q15" s="120"/>
      <c r="R15" s="121"/>
      <c r="S15" s="122"/>
      <c r="T15" s="123"/>
      <c r="U15" s="120"/>
      <c r="V15" s="121"/>
      <c r="W15" s="122"/>
      <c r="X15" s="120"/>
      <c r="Y15" s="121"/>
      <c r="Z15" s="122"/>
    </row>
    <row r="16" spans="1:26" s="151" customFormat="1">
      <c r="B16" s="116">
        <f>'Master BOQ Pricing_2018-01-08'!B82</f>
        <v>5.01</v>
      </c>
      <c r="C16" s="78" t="str">
        <f>'Master BOQ Pricing_2018-01-08'!C82</f>
        <v xml:space="preserve">Re-instatement of asphalt and crusher 300mm width   ≤ 100mm thick </v>
      </c>
      <c r="D16" s="92" t="str">
        <f>'Master BOQ Pricing_2018-01-08'!D82</f>
        <v>m</v>
      </c>
      <c r="E16" s="256">
        <f>'Master BOQ Pricing_2018-01-08'!E82</f>
        <v>172.97</v>
      </c>
      <c r="F16" s="91">
        <f>'Infra Build BOQ'!L82</f>
        <v>0</v>
      </c>
      <c r="G16" s="106">
        <f>'Infra Build BOQ'!M82</f>
        <v>0</v>
      </c>
      <c r="H16" s="91">
        <f>'Infra Build BOQ'!T82</f>
        <v>0</v>
      </c>
      <c r="I16" s="101">
        <f>'Infra Build BOQ'!U82</f>
        <v>0</v>
      </c>
      <c r="J16" s="117">
        <f>'Infra Build BOQ'!V82</f>
        <v>0</v>
      </c>
      <c r="K16" s="159">
        <f>'Infra Build BOQ'!W82</f>
        <v>0</v>
      </c>
      <c r="L16" s="91">
        <f>'Infra Build BOQ'!X82</f>
        <v>0</v>
      </c>
      <c r="M16" s="101">
        <f>'Infra Build BOQ'!Y82</f>
        <v>0</v>
      </c>
      <c r="N16" s="117">
        <f>'Infra Build BOQ'!Z82</f>
        <v>0</v>
      </c>
      <c r="O16" s="159">
        <f>'Infra Build BOQ'!AA82</f>
        <v>0</v>
      </c>
      <c r="P16" s="91">
        <f>'Infra Build BOQ'!AB82</f>
        <v>0</v>
      </c>
      <c r="Q16" s="101">
        <f>'Infra Build BOQ'!AC82</f>
        <v>0</v>
      </c>
      <c r="R16" s="117">
        <f>'Infra Build BOQ'!AD82</f>
        <v>0</v>
      </c>
      <c r="S16" s="159">
        <f>'Infra Build BOQ'!AE82</f>
        <v>0</v>
      </c>
      <c r="T16" s="91">
        <f>'Infra Build BOQ'!AF82</f>
        <v>0</v>
      </c>
      <c r="U16" s="101">
        <f>'Infra Build BOQ'!AG82</f>
        <v>0</v>
      </c>
      <c r="V16" s="117">
        <f>'Infra Build BOQ'!AH82</f>
        <v>0</v>
      </c>
      <c r="W16" s="159">
        <f>'Infra Build BOQ'!AI82</f>
        <v>0</v>
      </c>
      <c r="X16" s="101">
        <f>'Infra Build BOQ'!AJ82</f>
        <v>0</v>
      </c>
      <c r="Y16" s="117">
        <f>'Infra Build BOQ'!AK82</f>
        <v>0</v>
      </c>
      <c r="Z16" s="159">
        <f>'Infra Build BOQ'!AL82</f>
        <v>0</v>
      </c>
    </row>
    <row r="17" spans="1:26" s="151" customFormat="1">
      <c r="B17" s="116">
        <f>'Master BOQ Pricing_2018-01-08'!B84</f>
        <v>5.0199999999999996</v>
      </c>
      <c r="C17" s="78" t="str">
        <f>'Master BOQ Pricing_2018-01-08'!C84</f>
        <v>Re-instatement of  concrete (18Mpa) 300mm width   ≤ 100mm thick</v>
      </c>
      <c r="D17" s="92" t="str">
        <f>'Master BOQ Pricing_2018-01-08'!D84</f>
        <v>m</v>
      </c>
      <c r="E17" s="256">
        <f>'Master BOQ Pricing_2018-01-08'!E84</f>
        <v>94.76</v>
      </c>
      <c r="F17" s="91">
        <f>'Infra Build BOQ'!L84</f>
        <v>0</v>
      </c>
      <c r="G17" s="106">
        <f>'Infra Build BOQ'!M84</f>
        <v>0</v>
      </c>
      <c r="H17" s="91">
        <f>'Infra Build BOQ'!T84</f>
        <v>0</v>
      </c>
      <c r="I17" s="101">
        <f>'Infra Build BOQ'!U84</f>
        <v>0</v>
      </c>
      <c r="J17" s="117">
        <f>'Infra Build BOQ'!V84</f>
        <v>0</v>
      </c>
      <c r="K17" s="159">
        <f>'Infra Build BOQ'!W84</f>
        <v>0</v>
      </c>
      <c r="L17" s="91">
        <f>'Infra Build BOQ'!X84</f>
        <v>0</v>
      </c>
      <c r="M17" s="101">
        <f>'Infra Build BOQ'!Y84</f>
        <v>0</v>
      </c>
      <c r="N17" s="117">
        <f>'Infra Build BOQ'!Z84</f>
        <v>0</v>
      </c>
      <c r="O17" s="159">
        <f>'Infra Build BOQ'!AA84</f>
        <v>0</v>
      </c>
      <c r="P17" s="91">
        <f>'Infra Build BOQ'!AB84</f>
        <v>0</v>
      </c>
      <c r="Q17" s="101">
        <f>'Infra Build BOQ'!AC84</f>
        <v>0</v>
      </c>
      <c r="R17" s="117">
        <f>'Infra Build BOQ'!AD84</f>
        <v>0</v>
      </c>
      <c r="S17" s="159">
        <f>'Infra Build BOQ'!AE84</f>
        <v>0</v>
      </c>
      <c r="T17" s="91">
        <f>'Infra Build BOQ'!AF84</f>
        <v>0</v>
      </c>
      <c r="U17" s="101">
        <f>'Infra Build BOQ'!AG84</f>
        <v>0</v>
      </c>
      <c r="V17" s="117">
        <f>'Infra Build BOQ'!AH84</f>
        <v>0</v>
      </c>
      <c r="W17" s="159">
        <f>'Infra Build BOQ'!AI84</f>
        <v>0</v>
      </c>
      <c r="X17" s="101">
        <f>'Infra Build BOQ'!AJ84</f>
        <v>0</v>
      </c>
      <c r="Y17" s="117">
        <f>'Infra Build BOQ'!AK84</f>
        <v>0</v>
      </c>
      <c r="Z17" s="159">
        <f>'Infra Build BOQ'!AL84</f>
        <v>0</v>
      </c>
    </row>
    <row r="18" spans="1:26" s="151" customFormat="1">
      <c r="B18" s="116">
        <f>'Master BOQ Pricing_2018-01-08'!B85</f>
        <v>5.03</v>
      </c>
      <c r="C18" s="78" t="str">
        <f>'Master BOQ Pricing_2018-01-08'!C85</f>
        <v xml:space="preserve">Re-instatement of asphalt  ≤ 100mm thick </v>
      </c>
      <c r="D18" s="92" t="str">
        <f>'Master BOQ Pricing_2018-01-08'!D85</f>
        <v>m²</v>
      </c>
      <c r="E18" s="256">
        <f>'Master BOQ Pricing_2018-01-08'!E85</f>
        <v>318.72000000000003</v>
      </c>
      <c r="F18" s="91">
        <f>'Infra Build BOQ'!L85</f>
        <v>0</v>
      </c>
      <c r="G18" s="106">
        <f>'Infra Build BOQ'!M85</f>
        <v>0</v>
      </c>
      <c r="H18" s="91">
        <f>'Infra Build BOQ'!T85</f>
        <v>0</v>
      </c>
      <c r="I18" s="101">
        <f>'Infra Build BOQ'!U85</f>
        <v>0</v>
      </c>
      <c r="J18" s="117">
        <f>'Infra Build BOQ'!V85</f>
        <v>0</v>
      </c>
      <c r="K18" s="159">
        <f>'Infra Build BOQ'!W85</f>
        <v>0</v>
      </c>
      <c r="L18" s="91">
        <f>'Infra Build BOQ'!X85</f>
        <v>0</v>
      </c>
      <c r="M18" s="101">
        <f>'Infra Build BOQ'!Y85</f>
        <v>0</v>
      </c>
      <c r="N18" s="117">
        <f>'Infra Build BOQ'!Z85</f>
        <v>0</v>
      </c>
      <c r="O18" s="159">
        <f>'Infra Build BOQ'!AA85</f>
        <v>0</v>
      </c>
      <c r="P18" s="91">
        <f>'Infra Build BOQ'!AB85</f>
        <v>0</v>
      </c>
      <c r="Q18" s="101">
        <f>'Infra Build BOQ'!AC85</f>
        <v>0</v>
      </c>
      <c r="R18" s="117">
        <f>'Infra Build BOQ'!AD85</f>
        <v>0</v>
      </c>
      <c r="S18" s="159">
        <f>'Infra Build BOQ'!AE85</f>
        <v>0</v>
      </c>
      <c r="T18" s="91">
        <f>'Infra Build BOQ'!AF85</f>
        <v>0</v>
      </c>
      <c r="U18" s="101">
        <f>'Infra Build BOQ'!AG85</f>
        <v>0</v>
      </c>
      <c r="V18" s="117">
        <f>'Infra Build BOQ'!AH85</f>
        <v>0</v>
      </c>
      <c r="W18" s="159">
        <f>'Infra Build BOQ'!AI85</f>
        <v>0</v>
      </c>
      <c r="X18" s="101">
        <f>'Infra Build BOQ'!AJ85</f>
        <v>0</v>
      </c>
      <c r="Y18" s="117">
        <f>'Infra Build BOQ'!AK85</f>
        <v>0</v>
      </c>
      <c r="Z18" s="159">
        <f>'Infra Build BOQ'!AL85</f>
        <v>0</v>
      </c>
    </row>
    <row r="19" spans="1:26" s="160" customFormat="1">
      <c r="B19" s="116">
        <f>'Master BOQ Pricing_2018-01-08'!B86</f>
        <v>5.04</v>
      </c>
      <c r="C19" s="78" t="str">
        <f>'Master BOQ Pricing_2018-01-08'!C86</f>
        <v>Re-instatement of asphalt  or concrete (And crusher) (20 Mpa)  300mm width   &gt;100mm thick - ROAD</v>
      </c>
      <c r="D19" s="92" t="str">
        <f>'Master BOQ Pricing_2018-01-08'!D86</f>
        <v>m</v>
      </c>
      <c r="E19" s="256">
        <f>'Master BOQ Pricing_2018-01-08'!E86</f>
        <v>297.5</v>
      </c>
      <c r="F19" s="91">
        <f>'Infra Build BOQ'!L86</f>
        <v>0</v>
      </c>
      <c r="G19" s="106">
        <f>'Infra Build BOQ'!M86</f>
        <v>0</v>
      </c>
      <c r="H19" s="91">
        <f>'Infra Build BOQ'!T86</f>
        <v>0</v>
      </c>
      <c r="I19" s="101">
        <f>'Infra Build BOQ'!U86</f>
        <v>0</v>
      </c>
      <c r="J19" s="117">
        <f>'Infra Build BOQ'!V86</f>
        <v>0</v>
      </c>
      <c r="K19" s="159">
        <f>'Infra Build BOQ'!W86</f>
        <v>0</v>
      </c>
      <c r="L19" s="91">
        <f>'Infra Build BOQ'!X86</f>
        <v>0</v>
      </c>
      <c r="M19" s="101">
        <f>'Infra Build BOQ'!Y86</f>
        <v>0</v>
      </c>
      <c r="N19" s="117">
        <f>'Infra Build BOQ'!Z86</f>
        <v>0</v>
      </c>
      <c r="O19" s="159">
        <f>'Infra Build BOQ'!AA86</f>
        <v>0</v>
      </c>
      <c r="P19" s="91">
        <f>'Infra Build BOQ'!AB86</f>
        <v>0</v>
      </c>
      <c r="Q19" s="101">
        <f>'Infra Build BOQ'!AC86</f>
        <v>0</v>
      </c>
      <c r="R19" s="117">
        <f>'Infra Build BOQ'!AD86</f>
        <v>0</v>
      </c>
      <c r="S19" s="159">
        <f>'Infra Build BOQ'!AE86</f>
        <v>0</v>
      </c>
      <c r="T19" s="91">
        <f>'Infra Build BOQ'!AF86</f>
        <v>0</v>
      </c>
      <c r="U19" s="101">
        <f>'Infra Build BOQ'!AG86</f>
        <v>0</v>
      </c>
      <c r="V19" s="117">
        <f>'Infra Build BOQ'!AH86</f>
        <v>0</v>
      </c>
      <c r="W19" s="159">
        <f>'Infra Build BOQ'!AI86</f>
        <v>0</v>
      </c>
      <c r="X19" s="101">
        <f>'Infra Build BOQ'!AJ86</f>
        <v>0</v>
      </c>
      <c r="Y19" s="117">
        <f>'Infra Build BOQ'!AK86</f>
        <v>0</v>
      </c>
      <c r="Z19" s="159">
        <f>'Infra Build BOQ'!AL86</f>
        <v>0</v>
      </c>
    </row>
    <row r="20" spans="1:26" s="160" customFormat="1">
      <c r="B20" s="116">
        <f>'Master BOQ Pricing_2018-01-08'!B87</f>
        <v>5.05</v>
      </c>
      <c r="C20" s="78" t="str">
        <f>'Master BOQ Pricing_2018-01-08'!C87</f>
        <v xml:space="preserve">Surface re-instatement - tiles  paving  inter locking brick and Slabbed paving </v>
      </c>
      <c r="D20" s="92" t="str">
        <f>'Master BOQ Pricing_2018-01-08'!D87</f>
        <v>m²</v>
      </c>
      <c r="E20" s="256">
        <f>'Master BOQ Pricing_2018-01-08'!E87</f>
        <v>95</v>
      </c>
      <c r="F20" s="91">
        <f>'Infra Build BOQ'!L87</f>
        <v>0</v>
      </c>
      <c r="G20" s="106">
        <f>'Infra Build BOQ'!M87</f>
        <v>0</v>
      </c>
      <c r="H20" s="91">
        <f>'Infra Build BOQ'!T87</f>
        <v>0</v>
      </c>
      <c r="I20" s="101">
        <f>'Infra Build BOQ'!U87</f>
        <v>0</v>
      </c>
      <c r="J20" s="117">
        <f>'Infra Build BOQ'!V87</f>
        <v>0</v>
      </c>
      <c r="K20" s="159">
        <f>'Infra Build BOQ'!W87</f>
        <v>0</v>
      </c>
      <c r="L20" s="91">
        <f>'Infra Build BOQ'!X87</f>
        <v>0</v>
      </c>
      <c r="M20" s="101">
        <f>'Infra Build BOQ'!Y87</f>
        <v>0</v>
      </c>
      <c r="N20" s="117">
        <f>'Infra Build BOQ'!Z87</f>
        <v>0</v>
      </c>
      <c r="O20" s="159">
        <f>'Infra Build BOQ'!AA87</f>
        <v>0</v>
      </c>
      <c r="P20" s="91">
        <f>'Infra Build BOQ'!AB87</f>
        <v>0</v>
      </c>
      <c r="Q20" s="101">
        <f>'Infra Build BOQ'!AC87</f>
        <v>0</v>
      </c>
      <c r="R20" s="117">
        <f>'Infra Build BOQ'!AD87</f>
        <v>0</v>
      </c>
      <c r="S20" s="159">
        <f>'Infra Build BOQ'!AE87</f>
        <v>0</v>
      </c>
      <c r="T20" s="91">
        <f>'Infra Build BOQ'!AF87</f>
        <v>0</v>
      </c>
      <c r="U20" s="101">
        <f>'Infra Build BOQ'!AG87</f>
        <v>0</v>
      </c>
      <c r="V20" s="117">
        <f>'Infra Build BOQ'!AH87</f>
        <v>0</v>
      </c>
      <c r="W20" s="159">
        <f>'Infra Build BOQ'!AI87</f>
        <v>0</v>
      </c>
      <c r="X20" s="101">
        <f>'Infra Build BOQ'!AJ87</f>
        <v>0</v>
      </c>
      <c r="Y20" s="117">
        <f>'Infra Build BOQ'!AK87</f>
        <v>0</v>
      </c>
      <c r="Z20" s="159">
        <f>'Infra Build BOQ'!AL87</f>
        <v>0</v>
      </c>
    </row>
    <row r="21" spans="1:26" s="151" customFormat="1">
      <c r="B21" s="116">
        <f>'Master BOQ Pricing_2018-01-08'!B88</f>
        <v>5.0599999999999996</v>
      </c>
      <c r="C21" s="78" t="str">
        <f>'Master BOQ Pricing_2018-01-08'!C88</f>
        <v xml:space="preserve">Re-instatement of grass </v>
      </c>
      <c r="D21" s="92" t="str">
        <f>'Master BOQ Pricing_2018-01-08'!D88</f>
        <v>m</v>
      </c>
      <c r="E21" s="256">
        <f>'Master BOQ Pricing_2018-01-08'!E88</f>
        <v>20</v>
      </c>
      <c r="F21" s="91">
        <f>'Infra Build BOQ'!L88</f>
        <v>0</v>
      </c>
      <c r="G21" s="106">
        <f>'Infra Build BOQ'!M88</f>
        <v>0</v>
      </c>
      <c r="H21" s="91">
        <f>'Infra Build BOQ'!T88</f>
        <v>0</v>
      </c>
      <c r="I21" s="101">
        <f>'Infra Build BOQ'!U88</f>
        <v>0</v>
      </c>
      <c r="J21" s="117">
        <f>'Infra Build BOQ'!V88</f>
        <v>0</v>
      </c>
      <c r="K21" s="159">
        <f>'Infra Build BOQ'!W88</f>
        <v>0</v>
      </c>
      <c r="L21" s="91">
        <f>'Infra Build BOQ'!X88</f>
        <v>0</v>
      </c>
      <c r="M21" s="101">
        <f>'Infra Build BOQ'!Y88</f>
        <v>0</v>
      </c>
      <c r="N21" s="117">
        <f>'Infra Build BOQ'!Z88</f>
        <v>0</v>
      </c>
      <c r="O21" s="159">
        <f>'Infra Build BOQ'!AA88</f>
        <v>0</v>
      </c>
      <c r="P21" s="91">
        <f>'Infra Build BOQ'!AB88</f>
        <v>0</v>
      </c>
      <c r="Q21" s="101">
        <f>'Infra Build BOQ'!AC88</f>
        <v>0</v>
      </c>
      <c r="R21" s="117">
        <f>'Infra Build BOQ'!AD88</f>
        <v>0</v>
      </c>
      <c r="S21" s="159">
        <f>'Infra Build BOQ'!AE88</f>
        <v>0</v>
      </c>
      <c r="T21" s="91">
        <f>'Infra Build BOQ'!AF88</f>
        <v>0</v>
      </c>
      <c r="U21" s="101">
        <f>'Infra Build BOQ'!AG88</f>
        <v>0</v>
      </c>
      <c r="V21" s="117">
        <f>'Infra Build BOQ'!AH88</f>
        <v>0</v>
      </c>
      <c r="W21" s="159">
        <f>'Infra Build BOQ'!AI88</f>
        <v>0</v>
      </c>
      <c r="X21" s="101">
        <f>'Infra Build BOQ'!AJ88</f>
        <v>0</v>
      </c>
      <c r="Y21" s="117">
        <f>'Infra Build BOQ'!AK88</f>
        <v>0</v>
      </c>
      <c r="Z21" s="159">
        <f>'Infra Build BOQ'!AL88</f>
        <v>0</v>
      </c>
    </row>
    <row r="22" spans="1:26" s="151" customFormat="1">
      <c r="B22" s="116">
        <f>'Master BOQ Pricing_2018-01-08'!B89</f>
        <v>5.07</v>
      </c>
      <c r="C22" s="78" t="str">
        <f>'Master BOQ Pricing_2018-01-08'!C89</f>
        <v>Re-establishment of vegetation  landscaping and seedlings</v>
      </c>
      <c r="D22" s="92" t="str">
        <f>'Master BOQ Pricing_2018-01-08'!D89</f>
        <v>m</v>
      </c>
      <c r="E22" s="256">
        <f>'Master BOQ Pricing_2018-01-08'!E89</f>
        <v>48</v>
      </c>
      <c r="F22" s="91">
        <f>'Infra Build BOQ'!L89</f>
        <v>0</v>
      </c>
      <c r="G22" s="106">
        <f>'Infra Build BOQ'!M89</f>
        <v>0</v>
      </c>
      <c r="H22" s="91">
        <f>'Infra Build BOQ'!T89</f>
        <v>0</v>
      </c>
      <c r="I22" s="101">
        <f>'Infra Build BOQ'!U89</f>
        <v>0</v>
      </c>
      <c r="J22" s="117">
        <f>'Infra Build BOQ'!V89</f>
        <v>0</v>
      </c>
      <c r="K22" s="159">
        <f>'Infra Build BOQ'!W89</f>
        <v>0</v>
      </c>
      <c r="L22" s="91">
        <f>'Infra Build BOQ'!X89</f>
        <v>0</v>
      </c>
      <c r="M22" s="101">
        <f>'Infra Build BOQ'!Y89</f>
        <v>0</v>
      </c>
      <c r="N22" s="117">
        <f>'Infra Build BOQ'!Z89</f>
        <v>0</v>
      </c>
      <c r="O22" s="159">
        <f>'Infra Build BOQ'!AA89</f>
        <v>0</v>
      </c>
      <c r="P22" s="91">
        <f>'Infra Build BOQ'!AB89</f>
        <v>0</v>
      </c>
      <c r="Q22" s="101">
        <f>'Infra Build BOQ'!AC89</f>
        <v>0</v>
      </c>
      <c r="R22" s="117">
        <f>'Infra Build BOQ'!AD89</f>
        <v>0</v>
      </c>
      <c r="S22" s="159">
        <f>'Infra Build BOQ'!AE89</f>
        <v>0</v>
      </c>
      <c r="T22" s="91">
        <f>'Infra Build BOQ'!AF89</f>
        <v>0</v>
      </c>
      <c r="U22" s="101">
        <f>'Infra Build BOQ'!AG89</f>
        <v>0</v>
      </c>
      <c r="V22" s="117">
        <f>'Infra Build BOQ'!AH89</f>
        <v>0</v>
      </c>
      <c r="W22" s="159">
        <f>'Infra Build BOQ'!AI89</f>
        <v>0</v>
      </c>
      <c r="X22" s="101">
        <f>'Infra Build BOQ'!AJ89</f>
        <v>0</v>
      </c>
      <c r="Y22" s="117">
        <f>'Infra Build BOQ'!AK89</f>
        <v>0</v>
      </c>
      <c r="Z22" s="159">
        <f>'Infra Build BOQ'!AL89</f>
        <v>0</v>
      </c>
    </row>
    <row r="23" spans="1:26" s="151" customFormat="1">
      <c r="B23" s="112"/>
      <c r="C23" s="80"/>
      <c r="D23" s="83"/>
      <c r="E23" s="119"/>
      <c r="F23" s="123"/>
      <c r="G23" s="122"/>
      <c r="H23" s="123"/>
      <c r="I23" s="120"/>
      <c r="J23" s="121"/>
      <c r="K23" s="122"/>
      <c r="L23" s="123"/>
      <c r="M23" s="120"/>
      <c r="N23" s="121"/>
      <c r="O23" s="122"/>
      <c r="P23" s="123"/>
      <c r="Q23" s="120"/>
      <c r="R23" s="121"/>
      <c r="S23" s="122"/>
      <c r="T23" s="123"/>
      <c r="U23" s="120"/>
      <c r="V23" s="121"/>
      <c r="W23" s="122"/>
      <c r="X23" s="120"/>
      <c r="Y23" s="121"/>
      <c r="Z23" s="122"/>
    </row>
    <row r="24" spans="1:26" s="149" customFormat="1" ht="18.600000000000001" thickBot="1">
      <c r="B24" s="145"/>
      <c r="C24" s="161"/>
      <c r="D24" s="145"/>
      <c r="E24" s="144" t="s">
        <v>5</v>
      </c>
      <c r="F24" s="145"/>
      <c r="G24" s="146">
        <f>SUM(G13:G23)</f>
        <v>0</v>
      </c>
      <c r="H24" s="145"/>
      <c r="I24" s="147"/>
      <c r="J24" s="148">
        <f>SUM(J13:J23)</f>
        <v>0</v>
      </c>
      <c r="K24" s="145"/>
      <c r="L24" s="145"/>
      <c r="M24" s="147"/>
      <c r="N24" s="148">
        <f>SUM(N13:N23)</f>
        <v>0</v>
      </c>
      <c r="R24" s="150">
        <f>SUM(R13:R23)</f>
        <v>0</v>
      </c>
      <c r="V24" s="150">
        <f>SUM(V13:V23)</f>
        <v>0</v>
      </c>
      <c r="Y24" s="150">
        <f>SUM(Y13:Y23)</f>
        <v>0</v>
      </c>
    </row>
    <row r="25" spans="1:26" s="151" customFormat="1" ht="14.4" thickTop="1">
      <c r="B25" s="5"/>
      <c r="C25" s="6"/>
      <c r="D25" s="5"/>
      <c r="E25" s="7"/>
      <c r="F25" s="5"/>
      <c r="G25" s="5"/>
      <c r="H25" s="5"/>
      <c r="I25" s="5"/>
      <c r="J25" s="52"/>
      <c r="K25" s="5"/>
    </row>
    <row r="26" spans="1:26" s="151" customFormat="1" ht="14.4">
      <c r="A26" s="152"/>
      <c r="B26" s="152"/>
      <c r="C26" s="152"/>
      <c r="D26" s="152"/>
      <c r="E26" s="152"/>
      <c r="F26" s="153"/>
      <c r="G26" s="153"/>
      <c r="H26" s="154" t="s">
        <v>220</v>
      </c>
      <c r="I26" s="154"/>
      <c r="J26" s="155">
        <f>J24-G24</f>
        <v>0</v>
      </c>
      <c r="K26" s="154"/>
      <c r="L26" s="154" t="s">
        <v>222</v>
      </c>
      <c r="M26" s="154"/>
      <c r="N26" s="155">
        <f>N24-J24</f>
        <v>0</v>
      </c>
      <c r="O26" s="154"/>
      <c r="P26" s="154" t="s">
        <v>224</v>
      </c>
      <c r="Q26" s="154"/>
      <c r="R26" s="155">
        <f>R24-N24</f>
        <v>0</v>
      </c>
      <c r="S26" s="154"/>
      <c r="T26" s="154" t="s">
        <v>226</v>
      </c>
      <c r="U26" s="154"/>
      <c r="V26" s="155">
        <f>V24-R24</f>
        <v>0</v>
      </c>
      <c r="W26" s="154"/>
      <c r="X26" s="154" t="s">
        <v>228</v>
      </c>
      <c r="Y26" s="155">
        <f>Y24-G24</f>
        <v>0</v>
      </c>
    </row>
    <row r="27" spans="1:26" s="158" customFormat="1" ht="18">
      <c r="A27" s="162"/>
      <c r="B27" s="162"/>
      <c r="C27" s="156"/>
      <c r="D27" s="156"/>
      <c r="E27" s="156"/>
      <c r="F27" s="151"/>
      <c r="G27" s="151"/>
      <c r="H27" s="154" t="s">
        <v>221</v>
      </c>
      <c r="I27" s="154"/>
      <c r="J27" s="157" t="e">
        <f>J26/G24</f>
        <v>#DIV/0!</v>
      </c>
      <c r="K27" s="154"/>
      <c r="L27" s="154" t="s">
        <v>223</v>
      </c>
      <c r="M27" s="154"/>
      <c r="N27" s="157" t="e">
        <f>N26/J24</f>
        <v>#DIV/0!</v>
      </c>
      <c r="O27" s="154"/>
      <c r="P27" s="154" t="s">
        <v>225</v>
      </c>
      <c r="Q27" s="154"/>
      <c r="R27" s="157" t="e">
        <f>R26/N24</f>
        <v>#DIV/0!</v>
      </c>
      <c r="S27" s="154"/>
      <c r="T27" s="154" t="s">
        <v>227</v>
      </c>
      <c r="U27" s="154"/>
      <c r="V27" s="157" t="e">
        <f>V26/R24</f>
        <v>#DIV/0!</v>
      </c>
      <c r="W27" s="154"/>
      <c r="X27" s="154" t="s">
        <v>229</v>
      </c>
      <c r="Y27" s="157" t="e">
        <f>Y26/G24</f>
        <v>#DIV/0!</v>
      </c>
    </row>
    <row r="28" spans="1:26" s="10" customFormat="1" ht="18">
      <c r="A28" s="20"/>
      <c r="B28" s="20"/>
      <c r="C28" s="20"/>
      <c r="D28" s="20"/>
      <c r="E28" s="20"/>
      <c r="F28" s="20"/>
      <c r="G28" s="20"/>
      <c r="H28" s="20"/>
      <c r="I28" s="20"/>
    </row>
    <row r="29" spans="1:26" ht="18">
      <c r="A29" s="10"/>
      <c r="B29" s="10"/>
      <c r="C29" s="11"/>
      <c r="D29" s="11"/>
      <c r="E29" s="11"/>
      <c r="H29" s="10"/>
      <c r="I29" s="10"/>
    </row>
    <row r="30" spans="1:26" ht="18">
      <c r="A30" s="10"/>
      <c r="B30" s="10"/>
      <c r="C30" s="11"/>
      <c r="D30" s="1188"/>
      <c r="E30" s="1188"/>
      <c r="H30" s="10"/>
      <c r="I30" s="10"/>
    </row>
    <row r="31" spans="1:26" ht="18">
      <c r="A31" s="10"/>
      <c r="B31" s="10"/>
      <c r="C31" s="11"/>
      <c r="D31" s="1188"/>
      <c r="E31" s="1188"/>
      <c r="H31" s="10"/>
      <c r="I31" s="10"/>
    </row>
  </sheetData>
  <sheetProtection algorithmName="SHA-512" hashValue="hJ3fn52oJnHvisDW4UYR99ocSLi50f3VNh+L55/AfhuPeXxJbI8/FD0zMflqHd99u6HSIwYjN8CB9AbPyd9dzA==" saltValue="hhCXmNjTL3tamfRx7E6akA==" spinCount="100000" sheet="1" objects="1" scenarios="1" formatCells="0" formatColumns="0" formatRows="0" insertHyperlinks="0" sort="0" autoFilter="0" pivotTables="0"/>
  <autoFilter ref="B12:Z12" xr:uid="{00000000-0009-0000-0000-00000E000000}"/>
  <mergeCells count="15">
    <mergeCell ref="D30:E30"/>
    <mergeCell ref="D31:E31"/>
    <mergeCell ref="H2:Z2"/>
    <mergeCell ref="H3:Z10"/>
    <mergeCell ref="D5:E5"/>
    <mergeCell ref="D6:E6"/>
    <mergeCell ref="B11:E11"/>
    <mergeCell ref="H11:Z11"/>
    <mergeCell ref="B2:E2"/>
    <mergeCell ref="F3:G3"/>
    <mergeCell ref="F4:G4"/>
    <mergeCell ref="F5:G5"/>
    <mergeCell ref="F6:G6"/>
    <mergeCell ref="D3:E3"/>
    <mergeCell ref="D4:E4"/>
  </mergeCells>
  <pageMargins left="0.70866141732283472" right="0.70866141732283472" top="0.74803149606299213" bottom="0.74803149606299213" header="0.31496062992125984" footer="0.31496062992125984"/>
  <pageSetup paperSize="9" scale="23" orientation="landscape" horizontalDpi="4294967293" verticalDpi="300" r:id="rId1"/>
  <ignoredErrors>
    <ignoredError sqref="F14" unlockedFormula="1"/>
  </ignoredError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">
    <tabColor rgb="FF00B0F0"/>
    <pageSetUpPr fitToPage="1"/>
  </sheetPr>
  <dimension ref="A1:Z43"/>
  <sheetViews>
    <sheetView showGridLines="0" zoomScale="80" zoomScaleNormal="80" workbookViewId="0">
      <selection activeCell="C3" sqref="C3"/>
    </sheetView>
  </sheetViews>
  <sheetFormatPr defaultColWidth="4.44140625" defaultRowHeight="13.8"/>
  <cols>
    <col min="1" max="1" width="4.88671875" style="20" customWidth="1"/>
    <col min="2" max="2" width="25.109375" style="20" customWidth="1"/>
    <col min="3" max="3" width="94.33203125" style="20" customWidth="1"/>
    <col min="4" max="4" width="17.33203125" style="20" customWidth="1"/>
    <col min="5" max="5" width="12.6640625" style="20" customWidth="1"/>
    <col min="6" max="6" width="18.77734375" style="20" customWidth="1"/>
    <col min="7" max="7" width="22.77734375" style="20" customWidth="1"/>
    <col min="8" max="8" width="16" style="20" customWidth="1"/>
    <col min="9" max="9" width="18.77734375" style="20" customWidth="1"/>
    <col min="10" max="10" width="22.77734375" style="20" customWidth="1"/>
    <col min="11" max="11" width="20.77734375" style="20" customWidth="1"/>
    <col min="12" max="12" width="16" style="20" customWidth="1"/>
    <col min="13" max="13" width="18.77734375" style="20" customWidth="1"/>
    <col min="14" max="14" width="22.77734375" style="20" customWidth="1"/>
    <col min="15" max="15" width="20.77734375" style="20" customWidth="1"/>
    <col min="16" max="16" width="16" style="20" customWidth="1"/>
    <col min="17" max="17" width="18.77734375" style="20" customWidth="1"/>
    <col min="18" max="18" width="22.77734375" style="20" customWidth="1"/>
    <col min="19" max="19" width="20.77734375" style="20" customWidth="1"/>
    <col min="20" max="20" width="16" style="20" customWidth="1"/>
    <col min="21" max="21" width="18.77734375" style="20" customWidth="1"/>
    <col min="22" max="22" width="22.77734375" style="20" customWidth="1"/>
    <col min="23" max="23" width="20.77734375" style="20" customWidth="1"/>
    <col min="24" max="24" width="18.77734375" style="20" customWidth="1"/>
    <col min="25" max="25" width="22.77734375" style="20" customWidth="1"/>
    <col min="26" max="26" width="20.77734375" style="20" customWidth="1"/>
    <col min="27" max="16384" width="4.44140625" style="20"/>
  </cols>
  <sheetData>
    <row r="1" spans="1:26" ht="16.2" thickBot="1">
      <c r="A1" s="25" t="s">
        <v>117</v>
      </c>
      <c r="B1" s="26" t="str">
        <f>'Master BOQ Pricing_2018-01-08'!B1</f>
        <v>To Be viewed in conjunction with BOS_000-MS-BO-010 Rev 5</v>
      </c>
      <c r="C1" s="27"/>
      <c r="D1" s="27"/>
      <c r="E1" s="27"/>
      <c r="F1" s="27"/>
      <c r="G1" s="27"/>
      <c r="H1" s="27"/>
    </row>
    <row r="2" spans="1:26" ht="21" thickBot="1">
      <c r="A2" s="27"/>
      <c r="B2" s="1133" t="str">
        <f>'Infra Build BOQ'!B2:I2</f>
        <v>77K0057591  /  77K0057591</v>
      </c>
      <c r="C2" s="1134"/>
      <c r="D2" s="1134"/>
      <c r="E2" s="1134"/>
      <c r="F2" s="110"/>
      <c r="G2" s="110"/>
      <c r="H2" s="1098"/>
      <c r="I2" s="1099"/>
      <c r="J2" s="1099"/>
      <c r="K2" s="1099"/>
      <c r="L2" s="1099"/>
      <c r="M2" s="1099"/>
      <c r="N2" s="1099"/>
      <c r="O2" s="1099"/>
      <c r="P2" s="1099"/>
      <c r="Q2" s="1099"/>
      <c r="R2" s="1099"/>
      <c r="S2" s="1099"/>
      <c r="T2" s="1099"/>
      <c r="U2" s="1099"/>
      <c r="V2" s="1099"/>
      <c r="W2" s="1099"/>
      <c r="X2" s="1099"/>
      <c r="Y2" s="1099"/>
      <c r="Z2" s="1100"/>
    </row>
    <row r="3" spans="1:26" ht="15.6">
      <c r="A3" s="27"/>
      <c r="B3" s="88" t="s">
        <v>1</v>
      </c>
      <c r="C3" s="178" t="str">
        <f>CONCATENATE('EXE Dashboard'!C4,"  /  ",'EXE Dashboard'!C5)</f>
        <v>77K0057591  /  77K0057591</v>
      </c>
      <c r="D3" s="1142" t="s">
        <v>362</v>
      </c>
      <c r="E3" s="1191"/>
      <c r="F3" s="1198">
        <f>'Infra Build BOQ'!F3</f>
        <v>0</v>
      </c>
      <c r="G3" s="1199"/>
      <c r="H3" s="1193" t="s">
        <v>279</v>
      </c>
      <c r="I3" s="1102"/>
      <c r="J3" s="1102"/>
      <c r="K3" s="1102"/>
      <c r="L3" s="1102"/>
      <c r="M3" s="1102"/>
      <c r="N3" s="1102"/>
      <c r="O3" s="1102"/>
      <c r="P3" s="1102"/>
      <c r="Q3" s="1102"/>
      <c r="R3" s="1102"/>
      <c r="S3" s="1102"/>
      <c r="T3" s="1102"/>
      <c r="U3" s="1102"/>
      <c r="V3" s="1102"/>
      <c r="W3" s="1102"/>
      <c r="X3" s="1102"/>
      <c r="Y3" s="1102"/>
      <c r="Z3" s="1103"/>
    </row>
    <row r="4" spans="1:26" ht="16.5" customHeight="1">
      <c r="A4" s="27"/>
      <c r="B4" s="89" t="s">
        <v>0</v>
      </c>
      <c r="C4" s="449" t="str">
        <f>'Infra Build BOQ'!C4</f>
        <v xml:space="preserve">Eletronic Communications Network (Pty) Ltd </v>
      </c>
      <c r="D4" s="1144" t="s">
        <v>2</v>
      </c>
      <c r="E4" s="1192"/>
      <c r="F4" s="1200" t="str">
        <f>'Infra Build BOQ'!F4</f>
        <v>Ethekwini</v>
      </c>
      <c r="G4" s="1201"/>
      <c r="H4" s="1194"/>
      <c r="I4" s="1104"/>
      <c r="J4" s="1104"/>
      <c r="K4" s="1104"/>
      <c r="L4" s="1104"/>
      <c r="M4" s="1104"/>
      <c r="N4" s="1104"/>
      <c r="O4" s="1104"/>
      <c r="P4" s="1104"/>
      <c r="Q4" s="1104"/>
      <c r="R4" s="1104"/>
      <c r="S4" s="1104"/>
      <c r="T4" s="1104"/>
      <c r="U4" s="1104"/>
      <c r="V4" s="1104"/>
      <c r="W4" s="1104"/>
      <c r="X4" s="1104"/>
      <c r="Y4" s="1104"/>
      <c r="Z4" s="1105"/>
    </row>
    <row r="5" spans="1:26" ht="16.5" customHeight="1">
      <c r="A5" s="27"/>
      <c r="B5" s="90" t="s">
        <v>437</v>
      </c>
      <c r="C5" s="449">
        <f>'MATERIAL REQUEST'!C4</f>
        <v>0</v>
      </c>
      <c r="D5" s="1144" t="s">
        <v>3</v>
      </c>
      <c r="E5" s="1192"/>
      <c r="F5" s="1202" t="str">
        <f>'Infra Build BOQ'!F5</f>
        <v>Date: 2023/08/25</v>
      </c>
      <c r="G5" s="1203"/>
      <c r="H5" s="1194"/>
      <c r="I5" s="1104"/>
      <c r="J5" s="1104"/>
      <c r="K5" s="1104"/>
      <c r="L5" s="1104"/>
      <c r="M5" s="1104"/>
      <c r="N5" s="1104"/>
      <c r="O5" s="1104"/>
      <c r="P5" s="1104"/>
      <c r="Q5" s="1104"/>
      <c r="R5" s="1104"/>
      <c r="S5" s="1104"/>
      <c r="T5" s="1104"/>
      <c r="U5" s="1104"/>
      <c r="V5" s="1104"/>
      <c r="W5" s="1104"/>
      <c r="X5" s="1104"/>
      <c r="Y5" s="1104"/>
      <c r="Z5" s="1105"/>
    </row>
    <row r="6" spans="1:26" ht="33" customHeight="1" thickBot="1">
      <c r="A6" s="27"/>
      <c r="B6" s="90" t="s">
        <v>230</v>
      </c>
      <c r="C6" s="450" t="s">
        <v>465</v>
      </c>
      <c r="D6" s="1144" t="s">
        <v>361</v>
      </c>
      <c r="E6" s="1192"/>
      <c r="F6" s="1204" t="str">
        <f>'Infra Build BOQ'!F6</f>
        <v>Phoenix Industrial Access PoP - ECN - Roots Dube Village</v>
      </c>
      <c r="G6" s="1205"/>
      <c r="H6" s="1194"/>
      <c r="I6" s="1104"/>
      <c r="J6" s="1104"/>
      <c r="K6" s="1104"/>
      <c r="L6" s="1104"/>
      <c r="M6" s="1104"/>
      <c r="N6" s="1104"/>
      <c r="O6" s="1104"/>
      <c r="P6" s="1104"/>
      <c r="Q6" s="1104"/>
      <c r="R6" s="1104"/>
      <c r="S6" s="1104"/>
      <c r="T6" s="1104"/>
      <c r="U6" s="1104"/>
      <c r="V6" s="1104"/>
      <c r="W6" s="1104"/>
      <c r="X6" s="1104"/>
      <c r="Y6" s="1104"/>
      <c r="Z6" s="1105"/>
    </row>
    <row r="7" spans="1:26" ht="17.25" customHeight="1" thickBot="1">
      <c r="A7" s="27"/>
      <c r="B7" s="128" t="s">
        <v>118</v>
      </c>
      <c r="C7" s="129"/>
      <c r="D7" s="130"/>
      <c r="E7" s="130"/>
      <c r="F7" s="75"/>
      <c r="G7" s="94"/>
      <c r="H7" s="1194"/>
      <c r="I7" s="1104"/>
      <c r="J7" s="1104"/>
      <c r="K7" s="1104"/>
      <c r="L7" s="1104"/>
      <c r="M7" s="1104"/>
      <c r="N7" s="1104"/>
      <c r="O7" s="1104"/>
      <c r="P7" s="1104"/>
      <c r="Q7" s="1104"/>
      <c r="R7" s="1104"/>
      <c r="S7" s="1104"/>
      <c r="T7" s="1104"/>
      <c r="U7" s="1104"/>
      <c r="V7" s="1104"/>
      <c r="W7" s="1104"/>
      <c r="X7" s="1104"/>
      <c r="Y7" s="1104"/>
      <c r="Z7" s="1105"/>
    </row>
    <row r="8" spans="1:26" ht="17.25" customHeight="1" thickBot="1">
      <c r="A8" s="27"/>
      <c r="B8" s="128"/>
      <c r="C8" s="129"/>
      <c r="D8" s="130"/>
      <c r="E8" s="130"/>
      <c r="F8" s="75"/>
      <c r="G8" s="75"/>
      <c r="H8" s="1194"/>
      <c r="I8" s="1104"/>
      <c r="J8" s="1104"/>
      <c r="K8" s="1104"/>
      <c r="L8" s="1104"/>
      <c r="M8" s="1104"/>
      <c r="N8" s="1104"/>
      <c r="O8" s="1104"/>
      <c r="P8" s="1104"/>
      <c r="Q8" s="1104"/>
      <c r="R8" s="1104"/>
      <c r="S8" s="1104"/>
      <c r="T8" s="1104"/>
      <c r="U8" s="1104"/>
      <c r="V8" s="1104"/>
      <c r="W8" s="1104"/>
      <c r="X8" s="1104"/>
      <c r="Y8" s="1104"/>
      <c r="Z8" s="1105"/>
    </row>
    <row r="9" spans="1:26" ht="17.25" customHeight="1" thickBot="1">
      <c r="A9" s="27"/>
      <c r="B9" s="128"/>
      <c r="C9" s="129"/>
      <c r="D9" s="130"/>
      <c r="E9" s="130"/>
      <c r="F9" s="75"/>
      <c r="G9" s="75"/>
      <c r="H9" s="1194"/>
      <c r="I9" s="1104"/>
      <c r="J9" s="1104"/>
      <c r="K9" s="1104"/>
      <c r="L9" s="1104"/>
      <c r="M9" s="1104"/>
      <c r="N9" s="1104"/>
      <c r="O9" s="1104"/>
      <c r="P9" s="1104"/>
      <c r="Q9" s="1104"/>
      <c r="R9" s="1104"/>
      <c r="S9" s="1104"/>
      <c r="T9" s="1104"/>
      <c r="U9" s="1104"/>
      <c r="V9" s="1104"/>
      <c r="W9" s="1104"/>
      <c r="X9" s="1104"/>
      <c r="Y9" s="1104"/>
      <c r="Z9" s="1105"/>
    </row>
    <row r="10" spans="1:26" ht="17.25" customHeight="1" thickBot="1">
      <c r="A10" s="27"/>
      <c r="B10" s="128"/>
      <c r="C10" s="133"/>
      <c r="D10" s="130"/>
      <c r="E10" s="130"/>
      <c r="F10" s="75"/>
      <c r="G10" s="75"/>
      <c r="H10" s="1195"/>
      <c r="I10" s="1107"/>
      <c r="J10" s="1107"/>
      <c r="K10" s="1107"/>
      <c r="L10" s="1107"/>
      <c r="M10" s="1107"/>
      <c r="N10" s="1107"/>
      <c r="O10" s="1107"/>
      <c r="P10" s="1107"/>
      <c r="Q10" s="1107"/>
      <c r="R10" s="1107"/>
      <c r="S10" s="1107"/>
      <c r="T10" s="1107"/>
      <c r="U10" s="1107"/>
      <c r="V10" s="1107"/>
      <c r="W10" s="1107"/>
      <c r="X10" s="1107"/>
      <c r="Y10" s="1107"/>
      <c r="Z10" s="1108"/>
    </row>
    <row r="11" spans="1:26" ht="18.600000000000001" thickBot="1">
      <c r="A11" s="27"/>
      <c r="B11" s="1189" t="s">
        <v>280</v>
      </c>
      <c r="C11" s="1190"/>
      <c r="D11" s="1190"/>
      <c r="E11" s="1190"/>
      <c r="F11" s="93"/>
      <c r="G11" s="93"/>
      <c r="H11" s="1078"/>
      <c r="I11" s="1079"/>
      <c r="J11" s="1079"/>
      <c r="K11" s="1079"/>
      <c r="L11" s="1079"/>
      <c r="M11" s="1079"/>
      <c r="N11" s="1079"/>
      <c r="O11" s="1079"/>
      <c r="P11" s="1079"/>
      <c r="Q11" s="1079"/>
      <c r="R11" s="1079"/>
      <c r="S11" s="1079"/>
      <c r="T11" s="1079"/>
      <c r="U11" s="1079"/>
      <c r="V11" s="1079"/>
      <c r="W11" s="1079"/>
      <c r="X11" s="1079"/>
      <c r="Y11" s="1079"/>
      <c r="Z11" s="1101"/>
    </row>
    <row r="12" spans="1:26" ht="29.4" thickBot="1">
      <c r="B12" s="251" t="s">
        <v>63</v>
      </c>
      <c r="C12" s="252" t="s">
        <v>4</v>
      </c>
      <c r="D12" s="251" t="s">
        <v>30</v>
      </c>
      <c r="E12" s="253" t="s">
        <v>64</v>
      </c>
      <c r="F12" s="76" t="s">
        <v>274</v>
      </c>
      <c r="G12" s="53" t="s">
        <v>271</v>
      </c>
      <c r="H12" s="60" t="s">
        <v>214</v>
      </c>
      <c r="I12" s="61" t="s">
        <v>211</v>
      </c>
      <c r="J12" s="62" t="s">
        <v>65</v>
      </c>
      <c r="K12" s="63" t="s">
        <v>212</v>
      </c>
      <c r="L12" s="57" t="s">
        <v>215</v>
      </c>
      <c r="M12" s="58" t="s">
        <v>211</v>
      </c>
      <c r="N12" s="59" t="s">
        <v>65</v>
      </c>
      <c r="O12" s="64" t="s">
        <v>212</v>
      </c>
      <c r="P12" s="65" t="s">
        <v>217</v>
      </c>
      <c r="Q12" s="66" t="s">
        <v>211</v>
      </c>
      <c r="R12" s="67" t="s">
        <v>65</v>
      </c>
      <c r="S12" s="68" t="s">
        <v>212</v>
      </c>
      <c r="T12" s="54" t="s">
        <v>216</v>
      </c>
      <c r="U12" s="55" t="s">
        <v>211</v>
      </c>
      <c r="V12" s="56" t="s">
        <v>65</v>
      </c>
      <c r="W12" s="69" t="s">
        <v>212</v>
      </c>
      <c r="X12" s="70" t="s">
        <v>218</v>
      </c>
      <c r="Y12" s="71" t="s">
        <v>65</v>
      </c>
      <c r="Z12" s="72" t="s">
        <v>212</v>
      </c>
    </row>
    <row r="13" spans="1:26">
      <c r="B13" s="234">
        <f>'Master BOQ Pricing_2018-01-08'!B14</f>
        <v>1</v>
      </c>
      <c r="C13" s="79" t="str">
        <f>'Master BOQ Pricing_2018-01-08'!C14</f>
        <v>MATERIAL MANAGEMENT</v>
      </c>
      <c r="D13" s="82"/>
      <c r="E13" s="113"/>
      <c r="F13" s="102"/>
      <c r="G13" s="105"/>
      <c r="H13" s="102"/>
      <c r="I13" s="114"/>
      <c r="J13" s="115"/>
      <c r="K13" s="105"/>
      <c r="L13" s="102"/>
      <c r="M13" s="114"/>
      <c r="N13" s="115"/>
      <c r="O13" s="105"/>
      <c r="P13" s="102"/>
      <c r="Q13" s="114"/>
      <c r="R13" s="115"/>
      <c r="S13" s="105"/>
      <c r="T13" s="102"/>
      <c r="U13" s="114"/>
      <c r="V13" s="115"/>
      <c r="W13" s="105"/>
      <c r="X13" s="114"/>
      <c r="Y13" s="115"/>
      <c r="Z13" s="105"/>
    </row>
    <row r="14" spans="1:26" ht="14.4">
      <c r="B14" s="124">
        <f>'Master BOQ Pricing_2018-01-08'!B15</f>
        <v>1.1000000000000001</v>
      </c>
      <c r="C14" s="78" t="str">
        <f>'Master BOQ Pricing_2018-01-08'!C15</f>
        <v>Collect and delivery of material to Site (&gt;60km) Per Site</v>
      </c>
      <c r="D14" s="92" t="str">
        <f>'Master BOQ Pricing_2018-01-08'!D15</f>
        <v>Per Site</v>
      </c>
      <c r="E14" s="256">
        <f>'Master BOQ Pricing_2018-01-08'!E15</f>
        <v>850</v>
      </c>
      <c r="F14" s="91">
        <f>'Infra Build BOQ'!N15</f>
        <v>0</v>
      </c>
      <c r="G14" s="106">
        <f>E14*F14</f>
        <v>0</v>
      </c>
      <c r="H14" s="511"/>
      <c r="I14" s="142">
        <f>F14+H14</f>
        <v>0</v>
      </c>
      <c r="J14" s="143">
        <f>$E$14*I14</f>
        <v>0</v>
      </c>
      <c r="K14" s="598">
        <f>'Infra Build BOQ'!W15</f>
        <v>0</v>
      </c>
      <c r="L14" s="511"/>
      <c r="M14" s="142">
        <f>I14+L14</f>
        <v>0</v>
      </c>
      <c r="N14" s="143">
        <f>$E$14*M14</f>
        <v>0</v>
      </c>
      <c r="O14" s="598">
        <f>'Infra Build BOQ'!AA15</f>
        <v>0</v>
      </c>
      <c r="P14" s="511"/>
      <c r="Q14" s="142">
        <f>M14+P14</f>
        <v>0</v>
      </c>
      <c r="R14" s="143">
        <f>$E$14*Q14</f>
        <v>0</v>
      </c>
      <c r="S14" s="598">
        <f>'Infra Build BOQ'!AE15</f>
        <v>0</v>
      </c>
      <c r="T14" s="511"/>
      <c r="U14" s="142">
        <f>Q14+T14</f>
        <v>0</v>
      </c>
      <c r="V14" s="143">
        <f>$E$14*U14</f>
        <v>0</v>
      </c>
      <c r="W14" s="598">
        <f>'Infra Build BOQ'!AI15</f>
        <v>0</v>
      </c>
      <c r="X14" s="511"/>
      <c r="Y14" s="143">
        <f>$E$14*X14</f>
        <v>0</v>
      </c>
      <c r="Z14" s="598">
        <f>'Infra Build BOQ'!AL15</f>
        <v>0</v>
      </c>
    </row>
    <row r="15" spans="1:26">
      <c r="B15" s="234">
        <f>'Master BOQ Pricing_2018-01-08'!B65</f>
        <v>3</v>
      </c>
      <c r="C15" s="80" t="str">
        <f>'Master BOQ Pricing_2018-01-08'!C65</f>
        <v>PIPES AND DUCTS</v>
      </c>
      <c r="D15" s="83"/>
      <c r="E15" s="259"/>
      <c r="F15" s="123"/>
      <c r="G15" s="122"/>
      <c r="H15" s="123"/>
      <c r="I15" s="120"/>
      <c r="J15" s="121"/>
      <c r="K15" s="601"/>
      <c r="L15" s="123"/>
      <c r="M15" s="120"/>
      <c r="N15" s="121"/>
      <c r="O15" s="601"/>
      <c r="P15" s="123"/>
      <c r="Q15" s="120"/>
      <c r="R15" s="121"/>
      <c r="S15" s="601"/>
      <c r="T15" s="123"/>
      <c r="U15" s="120"/>
      <c r="V15" s="121"/>
      <c r="W15" s="601"/>
      <c r="X15" s="120"/>
      <c r="Y15" s="121"/>
      <c r="Z15" s="601"/>
    </row>
    <row r="16" spans="1:26">
      <c r="B16" s="118">
        <f>'Master BOQ Pricing_2018-01-08'!B72</f>
        <v>3.07</v>
      </c>
      <c r="C16" s="78" t="str">
        <f>'Master BOQ Pricing_2018-01-08'!C72</f>
        <v>DIT (Duct Integrity Testing) per duct length  Minimum rate R1000.00 or as per agreement. For ISP Only</v>
      </c>
      <c r="D16" s="92" t="str">
        <f>'Master BOQ Pricing_2018-01-08'!D72</f>
        <v>ea</v>
      </c>
      <c r="E16" s="256">
        <f>'Master BOQ Pricing_2018-01-08'!E72</f>
        <v>1000</v>
      </c>
      <c r="F16" s="91">
        <f>'Infra Build BOQ'!N72</f>
        <v>0</v>
      </c>
      <c r="G16" s="106">
        <f>'Infra Build BOQ'!O72</f>
        <v>0</v>
      </c>
      <c r="H16" s="91">
        <f>'Infra Build BOQ'!T72</f>
        <v>0</v>
      </c>
      <c r="I16" s="101">
        <f>'Infra Build BOQ'!U72</f>
        <v>0</v>
      </c>
      <c r="J16" s="117">
        <f>'Infra Build BOQ'!V72</f>
        <v>0</v>
      </c>
      <c r="K16" s="598">
        <f>'Infra Build BOQ'!W72</f>
        <v>0</v>
      </c>
      <c r="L16" s="91">
        <f>'Infra Build BOQ'!X72</f>
        <v>0</v>
      </c>
      <c r="M16" s="101">
        <f>'Infra Build BOQ'!Y72</f>
        <v>0</v>
      </c>
      <c r="N16" s="117">
        <f>'Infra Build BOQ'!Z72</f>
        <v>0</v>
      </c>
      <c r="O16" s="599">
        <f>'Infra Build BOQ'!AA72</f>
        <v>0</v>
      </c>
      <c r="P16" s="91">
        <f>'Infra Build BOQ'!AB72</f>
        <v>0</v>
      </c>
      <c r="Q16" s="101">
        <f>'Infra Build BOQ'!AC72</f>
        <v>0</v>
      </c>
      <c r="R16" s="117">
        <f>'Infra Build BOQ'!AD72</f>
        <v>0</v>
      </c>
      <c r="S16" s="599">
        <f>'Infra Build BOQ'!AE72</f>
        <v>0</v>
      </c>
      <c r="T16" s="91">
        <f>'Infra Build BOQ'!AF72</f>
        <v>0</v>
      </c>
      <c r="U16" s="101">
        <f>'Infra Build BOQ'!AG72</f>
        <v>0</v>
      </c>
      <c r="V16" s="117">
        <f>'Infra Build BOQ'!AH72</f>
        <v>0</v>
      </c>
      <c r="W16" s="599">
        <f>'Infra Build BOQ'!AI72</f>
        <v>0</v>
      </c>
      <c r="X16" s="101">
        <f>'Infra Build BOQ'!AJ72</f>
        <v>0</v>
      </c>
      <c r="Y16" s="117">
        <f>'Infra Build BOQ'!AK72</f>
        <v>0</v>
      </c>
      <c r="Z16" s="599">
        <f>'Infra Build BOQ'!AL72</f>
        <v>0</v>
      </c>
    </row>
    <row r="17" spans="2:26">
      <c r="B17" s="118">
        <f>'Master BOQ Pricing_2018-01-08'!B73</f>
        <v>3.08</v>
      </c>
      <c r="C17" s="78" t="str">
        <f>'Master BOQ Pricing_2018-01-08'!C73</f>
        <v>DIT (Duct Integrity Testing) per duct length for entire route.  Minimum rate R1000.00 or as per rate per m</v>
      </c>
      <c r="D17" s="92" t="str">
        <f>'Master BOQ Pricing_2018-01-08'!D73</f>
        <v>ea</v>
      </c>
      <c r="E17" s="256">
        <f>'Master BOQ Pricing_2018-01-08'!E73</f>
        <v>0.65</v>
      </c>
      <c r="F17" s="91">
        <f>'Infra Build BOQ'!N73</f>
        <v>0</v>
      </c>
      <c r="G17" s="106">
        <f>'Infra Build BOQ'!O73</f>
        <v>0</v>
      </c>
      <c r="H17" s="91">
        <f>'Infra Build BOQ'!T73</f>
        <v>0</v>
      </c>
      <c r="I17" s="101">
        <f>'Infra Build BOQ'!U73</f>
        <v>0</v>
      </c>
      <c r="J17" s="117">
        <f>'Infra Build BOQ'!V73</f>
        <v>0</v>
      </c>
      <c r="K17" s="599">
        <f>'Infra Build BOQ'!W73</f>
        <v>0</v>
      </c>
      <c r="L17" s="91">
        <f>'Infra Build BOQ'!X73</f>
        <v>0</v>
      </c>
      <c r="M17" s="101">
        <f>'Infra Build BOQ'!Y73</f>
        <v>0</v>
      </c>
      <c r="N17" s="117">
        <f>'Infra Build BOQ'!Z73</f>
        <v>0</v>
      </c>
      <c r="O17" s="599">
        <f>'Infra Build BOQ'!AA73</f>
        <v>0</v>
      </c>
      <c r="P17" s="91">
        <f>'Infra Build BOQ'!AB73</f>
        <v>0</v>
      </c>
      <c r="Q17" s="101">
        <f>'Infra Build BOQ'!AC73</f>
        <v>0</v>
      </c>
      <c r="R17" s="117">
        <f>'Infra Build BOQ'!AD73</f>
        <v>0</v>
      </c>
      <c r="S17" s="599">
        <f>'Infra Build BOQ'!AE73</f>
        <v>0</v>
      </c>
      <c r="T17" s="91">
        <f>'Infra Build BOQ'!AF73</f>
        <v>0</v>
      </c>
      <c r="U17" s="101">
        <f>'Infra Build BOQ'!AG73</f>
        <v>0</v>
      </c>
      <c r="V17" s="117">
        <f>'Infra Build BOQ'!AH73</f>
        <v>0</v>
      </c>
      <c r="W17" s="599">
        <f>'Infra Build BOQ'!AI73</f>
        <v>0</v>
      </c>
      <c r="X17" s="101">
        <f>'Infra Build BOQ'!AJ73</f>
        <v>0</v>
      </c>
      <c r="Y17" s="117">
        <f>'Infra Build BOQ'!AK73</f>
        <v>0</v>
      </c>
      <c r="Z17" s="599">
        <f>'Infra Build BOQ'!AL73</f>
        <v>0</v>
      </c>
    </row>
    <row r="18" spans="2:26">
      <c r="B18" s="234">
        <f>'Master BOQ Pricing_2018-01-08'!B160</f>
        <v>9</v>
      </c>
      <c r="C18" s="80" t="str">
        <f>'Master BOQ Pricing_2018-01-08'!C160</f>
        <v>CABLE FLOATING AND HAULING</v>
      </c>
      <c r="D18" s="83"/>
      <c r="E18" s="259"/>
      <c r="F18" s="123"/>
      <c r="G18" s="122"/>
      <c r="H18" s="123"/>
      <c r="I18" s="120"/>
      <c r="J18" s="121"/>
      <c r="K18" s="601"/>
      <c r="L18" s="123"/>
      <c r="M18" s="120"/>
      <c r="N18" s="121"/>
      <c r="O18" s="601"/>
      <c r="P18" s="123"/>
      <c r="Q18" s="120"/>
      <c r="R18" s="121"/>
      <c r="S18" s="601"/>
      <c r="T18" s="123"/>
      <c r="U18" s="120"/>
      <c r="V18" s="121"/>
      <c r="W18" s="601"/>
      <c r="X18" s="120"/>
      <c r="Y18" s="121"/>
      <c r="Z18" s="601"/>
    </row>
    <row r="19" spans="2:26">
      <c r="B19" s="118">
        <f>'Master BOQ Pricing_2018-01-08'!B161</f>
        <v>9.01</v>
      </c>
      <c r="C19" s="78" t="str">
        <f>'Master BOQ Pricing_2018-01-08'!C161</f>
        <v>Install 2 / 4 / 6 / 8 / 12 / 24 Fibre Optic Drop Cable in 1 / 2 / 4 / 7 way micro duct</v>
      </c>
      <c r="D19" s="92" t="str">
        <f>'Master BOQ Pricing_2018-01-08'!D161</f>
        <v>m</v>
      </c>
      <c r="E19" s="256">
        <f>'Master BOQ Pricing_2018-01-08'!E161</f>
        <v>4.5</v>
      </c>
      <c r="F19" s="103"/>
      <c r="G19" s="107"/>
      <c r="H19" s="103"/>
      <c r="I19" s="135"/>
      <c r="J19" s="136"/>
      <c r="K19" s="602"/>
      <c r="L19" s="103"/>
      <c r="M19" s="135"/>
      <c r="N19" s="136"/>
      <c r="O19" s="602"/>
      <c r="P19" s="103"/>
      <c r="Q19" s="135"/>
      <c r="R19" s="136"/>
      <c r="S19" s="602"/>
      <c r="T19" s="103"/>
      <c r="U19" s="135"/>
      <c r="V19" s="136"/>
      <c r="W19" s="602"/>
      <c r="X19" s="135"/>
      <c r="Y19" s="136"/>
      <c r="Z19" s="602"/>
    </row>
    <row r="20" spans="2:26">
      <c r="B20" s="118">
        <f>'Master BOQ Pricing_2018-01-08'!B162</f>
        <v>9.02</v>
      </c>
      <c r="C20" s="78" t="str">
        <f>'Master BOQ Pricing_2018-01-08'!C162</f>
        <v xml:space="preserve">Floating of Focus/CST Optic fibre cable in 40mm HDPE duct </v>
      </c>
      <c r="D20" s="92" t="str">
        <f>'Master BOQ Pricing_2018-01-08'!D162</f>
        <v>m</v>
      </c>
      <c r="E20" s="256">
        <f>'Master BOQ Pricing_2018-01-08'!E162</f>
        <v>5.5</v>
      </c>
      <c r="F20" s="91">
        <f>'Infra Build BOQ'!N162</f>
        <v>0</v>
      </c>
      <c r="G20" s="106">
        <f>'Infra Build BOQ'!O162</f>
        <v>0</v>
      </c>
      <c r="H20" s="91">
        <f>'Infra Build BOQ'!T162</f>
        <v>0</v>
      </c>
      <c r="I20" s="101">
        <f>'Infra Build BOQ'!U162</f>
        <v>0</v>
      </c>
      <c r="J20" s="117">
        <f>'Infra Build BOQ'!V162</f>
        <v>0</v>
      </c>
      <c r="K20" s="599">
        <f>'Infra Build BOQ'!W162</f>
        <v>0</v>
      </c>
      <c r="L20" s="91">
        <f>'Infra Build BOQ'!X162</f>
        <v>0</v>
      </c>
      <c r="M20" s="101">
        <f>'Infra Build BOQ'!Y162</f>
        <v>0</v>
      </c>
      <c r="N20" s="117">
        <f>'Infra Build BOQ'!Z162</f>
        <v>0</v>
      </c>
      <c r="O20" s="599">
        <f>'Infra Build BOQ'!AA162</f>
        <v>0</v>
      </c>
      <c r="P20" s="91">
        <f>'Infra Build BOQ'!AB162</f>
        <v>0</v>
      </c>
      <c r="Q20" s="101">
        <f>'Infra Build BOQ'!AC162</f>
        <v>0</v>
      </c>
      <c r="R20" s="117">
        <f>'Infra Build BOQ'!AD162</f>
        <v>0</v>
      </c>
      <c r="S20" s="599">
        <f>'Infra Build BOQ'!AE162</f>
        <v>0</v>
      </c>
      <c r="T20" s="91">
        <f>'Infra Build BOQ'!AF162</f>
        <v>0</v>
      </c>
      <c r="U20" s="101">
        <f>'Infra Build BOQ'!AG162</f>
        <v>0</v>
      </c>
      <c r="V20" s="117">
        <f>'Infra Build BOQ'!AH162</f>
        <v>0</v>
      </c>
      <c r="W20" s="599">
        <f>'Infra Build BOQ'!AI162</f>
        <v>0</v>
      </c>
      <c r="X20" s="101">
        <f>'Infra Build BOQ'!AJ162</f>
        <v>0</v>
      </c>
      <c r="Y20" s="117">
        <f>'Infra Build BOQ'!AK162</f>
        <v>0</v>
      </c>
      <c r="Z20" s="599">
        <f>'Infra Build BOQ'!AL162</f>
        <v>0</v>
      </c>
    </row>
    <row r="21" spans="2:26">
      <c r="B21" s="118">
        <f>'Master BOQ Pricing_2018-01-08'!B163</f>
        <v>9.0299999999999994</v>
      </c>
      <c r="C21" s="78" t="str">
        <f>'Master BOQ Pricing_2018-01-08'!C163</f>
        <v>Floating of Micro cable in 1 / 2 / 4 / 7 way micro duct</v>
      </c>
      <c r="D21" s="92" t="str">
        <f>'Master BOQ Pricing_2018-01-08'!D163</f>
        <v>m</v>
      </c>
      <c r="E21" s="256">
        <f>'Master BOQ Pricing_2018-01-08'!E163</f>
        <v>4.5</v>
      </c>
      <c r="F21" s="91">
        <f>'Infra Build BOQ'!N163</f>
        <v>0</v>
      </c>
      <c r="G21" s="106">
        <f>'Infra Build BOQ'!O163</f>
        <v>0</v>
      </c>
      <c r="H21" s="91">
        <f>'Infra Build BOQ'!T163</f>
        <v>0</v>
      </c>
      <c r="I21" s="101">
        <f>'Infra Build BOQ'!U163</f>
        <v>0</v>
      </c>
      <c r="J21" s="117">
        <f>'Infra Build BOQ'!V163</f>
        <v>0</v>
      </c>
      <c r="K21" s="599">
        <f>'Infra Build BOQ'!W163</f>
        <v>0</v>
      </c>
      <c r="L21" s="91">
        <f>'Infra Build BOQ'!X163</f>
        <v>0</v>
      </c>
      <c r="M21" s="101">
        <f>'Infra Build BOQ'!Y163</f>
        <v>0</v>
      </c>
      <c r="N21" s="117">
        <f>'Infra Build BOQ'!Z163</f>
        <v>0</v>
      </c>
      <c r="O21" s="599">
        <f>'Infra Build BOQ'!AA163</f>
        <v>0</v>
      </c>
      <c r="P21" s="91">
        <f>'Infra Build BOQ'!AB163</f>
        <v>0</v>
      </c>
      <c r="Q21" s="101">
        <f>'Infra Build BOQ'!AC163</f>
        <v>0</v>
      </c>
      <c r="R21" s="117">
        <f>'Infra Build BOQ'!AD163</f>
        <v>0</v>
      </c>
      <c r="S21" s="599">
        <f>'Infra Build BOQ'!AE163</f>
        <v>0</v>
      </c>
      <c r="T21" s="91">
        <f>'Infra Build BOQ'!AF163</f>
        <v>0</v>
      </c>
      <c r="U21" s="101">
        <f>'Infra Build BOQ'!AG163</f>
        <v>0</v>
      </c>
      <c r="V21" s="117">
        <f>'Infra Build BOQ'!AH163</f>
        <v>0</v>
      </c>
      <c r="W21" s="599">
        <f>'Infra Build BOQ'!AI163</f>
        <v>0</v>
      </c>
      <c r="X21" s="101">
        <f>'Infra Build BOQ'!AJ163</f>
        <v>0</v>
      </c>
      <c r="Y21" s="117">
        <f>'Infra Build BOQ'!AK163</f>
        <v>0</v>
      </c>
      <c r="Z21" s="599">
        <f>'Infra Build BOQ'!AL163</f>
        <v>0</v>
      </c>
    </row>
    <row r="22" spans="2:26">
      <c r="B22" s="118">
        <f>'Master BOQ Pricing_2018-01-08'!B164</f>
        <v>9.0399999999999991</v>
      </c>
      <c r="C22" s="78" t="str">
        <f>'Master BOQ Pricing_2018-01-08'!C164</f>
        <v xml:space="preserve">Pulling of slack between manholes (existing cables  Measurement of slack in manhole only) </v>
      </c>
      <c r="D22" s="92" t="str">
        <f>'Master BOQ Pricing_2018-01-08'!D164</f>
        <v>m</v>
      </c>
      <c r="E22" s="256">
        <f>'Master BOQ Pricing_2018-01-08'!E164</f>
        <v>3</v>
      </c>
      <c r="F22" s="103"/>
      <c r="G22" s="107"/>
      <c r="H22" s="103"/>
      <c r="I22" s="135"/>
      <c r="J22" s="136"/>
      <c r="K22" s="602"/>
      <c r="L22" s="103"/>
      <c r="M22" s="135"/>
      <c r="N22" s="136"/>
      <c r="O22" s="602"/>
      <c r="P22" s="103"/>
      <c r="Q22" s="135"/>
      <c r="R22" s="136"/>
      <c r="S22" s="602"/>
      <c r="T22" s="103"/>
      <c r="U22" s="135"/>
      <c r="V22" s="136"/>
      <c r="W22" s="602"/>
      <c r="X22" s="135"/>
      <c r="Y22" s="136"/>
      <c r="Z22" s="602"/>
    </row>
    <row r="23" spans="2:26">
      <c r="B23" s="118">
        <f>'Master BOQ Pricing_2018-01-08'!B165</f>
        <v>9.0500000000000007</v>
      </c>
      <c r="C23" s="78" t="str">
        <f>'Master BOQ Pricing_2018-01-08'!C165</f>
        <v>Installation and pulling/Hauling of fibre optical cable in EXISTING ducts</v>
      </c>
      <c r="D23" s="92" t="str">
        <f>'Master BOQ Pricing_2018-01-08'!D165</f>
        <v>m</v>
      </c>
      <c r="E23" s="256">
        <f>'Master BOQ Pricing_2018-01-08'!E165</f>
        <v>9.98</v>
      </c>
      <c r="F23" s="103"/>
      <c r="G23" s="107"/>
      <c r="H23" s="103"/>
      <c r="I23" s="135"/>
      <c r="J23" s="136"/>
      <c r="K23" s="602"/>
      <c r="L23" s="103"/>
      <c r="M23" s="135"/>
      <c r="N23" s="136"/>
      <c r="O23" s="602"/>
      <c r="P23" s="103"/>
      <c r="Q23" s="135"/>
      <c r="R23" s="136"/>
      <c r="S23" s="602"/>
      <c r="T23" s="103"/>
      <c r="U23" s="135"/>
      <c r="V23" s="136"/>
      <c r="W23" s="602"/>
      <c r="X23" s="135"/>
      <c r="Y23" s="136"/>
      <c r="Z23" s="602"/>
    </row>
    <row r="24" spans="2:26">
      <c r="B24" s="118">
        <f>'Master BOQ Pricing_2018-01-08'!B166</f>
        <v>9.06</v>
      </c>
      <c r="C24" s="78" t="str">
        <f>'Master BOQ Pricing_2018-01-08'!C166</f>
        <v>Installation and pulling/Hauling of fibre optical cable in NEW ducts</v>
      </c>
      <c r="D24" s="92" t="str">
        <f>'Master BOQ Pricing_2018-01-08'!D166</f>
        <v>m</v>
      </c>
      <c r="E24" s="256">
        <f>'Master BOQ Pricing_2018-01-08'!E166</f>
        <v>9.7100000000000009</v>
      </c>
      <c r="F24" s="103"/>
      <c r="G24" s="107"/>
      <c r="H24" s="103"/>
      <c r="I24" s="135"/>
      <c r="J24" s="136"/>
      <c r="K24" s="602"/>
      <c r="L24" s="103"/>
      <c r="M24" s="135"/>
      <c r="N24" s="136"/>
      <c r="O24" s="602"/>
      <c r="P24" s="103"/>
      <c r="Q24" s="135"/>
      <c r="R24" s="136"/>
      <c r="S24" s="602"/>
      <c r="T24" s="103"/>
      <c r="U24" s="135"/>
      <c r="V24" s="136"/>
      <c r="W24" s="602"/>
      <c r="X24" s="135"/>
      <c r="Y24" s="136"/>
      <c r="Z24" s="602"/>
    </row>
    <row r="25" spans="2:26">
      <c r="B25" s="118">
        <f>'Master BOQ Pricing_2018-01-08'!B167</f>
        <v>9.07</v>
      </c>
      <c r="C25" s="78" t="str">
        <f>'Master BOQ Pricing_2018-01-08'!C167</f>
        <v>Recovery of cable from existing ducts and sewer</v>
      </c>
      <c r="D25" s="92" t="str">
        <f>'Master BOQ Pricing_2018-01-08'!D167</f>
        <v>m</v>
      </c>
      <c r="E25" s="256">
        <f>'Master BOQ Pricing_2018-01-08'!E167</f>
        <v>3</v>
      </c>
      <c r="F25" s="103"/>
      <c r="G25" s="107"/>
      <c r="H25" s="103"/>
      <c r="I25" s="135"/>
      <c r="J25" s="136"/>
      <c r="K25" s="602"/>
      <c r="L25" s="103"/>
      <c r="M25" s="135"/>
      <c r="N25" s="136"/>
      <c r="O25" s="602"/>
      <c r="P25" s="103"/>
      <c r="Q25" s="135"/>
      <c r="R25" s="136"/>
      <c r="S25" s="602"/>
      <c r="T25" s="103"/>
      <c r="U25" s="135"/>
      <c r="V25" s="136"/>
      <c r="W25" s="602"/>
      <c r="X25" s="135"/>
      <c r="Y25" s="136"/>
      <c r="Z25" s="602"/>
    </row>
    <row r="26" spans="2:26">
      <c r="B26" s="118">
        <f>'Master BOQ Pricing_2018-01-08'!B168</f>
        <v>9.08</v>
      </c>
      <c r="C26" s="78" t="str">
        <f>'Master BOQ Pricing_2018-01-08'!C168</f>
        <v>Supply and Label ODF and Cables</v>
      </c>
      <c r="D26" s="92" t="str">
        <f>'Master BOQ Pricing_2018-01-08'!D168</f>
        <v>ea</v>
      </c>
      <c r="E26" s="256">
        <f>'Master BOQ Pricing_2018-01-08'!E168</f>
        <v>90.91</v>
      </c>
      <c r="F26" s="91">
        <f>'Infra Build BOQ'!N168</f>
        <v>0</v>
      </c>
      <c r="G26" s="106">
        <f>'Infra Build BOQ'!O168</f>
        <v>0</v>
      </c>
      <c r="H26" s="91">
        <f>'Infra Build BOQ'!T168</f>
        <v>0</v>
      </c>
      <c r="I26" s="101">
        <f>'Infra Build BOQ'!U168</f>
        <v>0</v>
      </c>
      <c r="J26" s="117">
        <f>'Infra Build BOQ'!V168</f>
        <v>0</v>
      </c>
      <c r="K26" s="599">
        <f>'Infra Build BOQ'!W168</f>
        <v>0</v>
      </c>
      <c r="L26" s="91">
        <f>'Infra Build BOQ'!X168</f>
        <v>0</v>
      </c>
      <c r="M26" s="101">
        <f>'Infra Build BOQ'!Y168</f>
        <v>0</v>
      </c>
      <c r="N26" s="117">
        <f>'Infra Build BOQ'!Z168</f>
        <v>0</v>
      </c>
      <c r="O26" s="599">
        <f>'Infra Build BOQ'!AA168</f>
        <v>0</v>
      </c>
      <c r="P26" s="91">
        <f>'Infra Build BOQ'!AB168</f>
        <v>0</v>
      </c>
      <c r="Q26" s="101">
        <f>'Infra Build BOQ'!AC168</f>
        <v>0</v>
      </c>
      <c r="R26" s="117">
        <f>'Infra Build BOQ'!AD168</f>
        <v>0</v>
      </c>
      <c r="S26" s="599">
        <f>'Infra Build BOQ'!AE168</f>
        <v>0</v>
      </c>
      <c r="T26" s="91">
        <f>'Infra Build BOQ'!AF168</f>
        <v>0</v>
      </c>
      <c r="U26" s="101">
        <f>'Infra Build BOQ'!AG168</f>
        <v>0</v>
      </c>
      <c r="V26" s="117">
        <f>'Infra Build BOQ'!AH168</f>
        <v>0</v>
      </c>
      <c r="W26" s="599">
        <f>'Infra Build BOQ'!AI168</f>
        <v>0</v>
      </c>
      <c r="X26" s="101">
        <f>'Infra Build BOQ'!AJ168</f>
        <v>0</v>
      </c>
      <c r="Y26" s="117">
        <f>'Infra Build BOQ'!AK168</f>
        <v>0</v>
      </c>
      <c r="Z26" s="599">
        <f>'Infra Build BOQ'!AL168</f>
        <v>0</v>
      </c>
    </row>
    <row r="27" spans="2:26">
      <c r="B27" s="234">
        <f>'Master BOQ Pricing_2018-01-08'!B169</f>
        <v>10</v>
      </c>
      <c r="C27" s="80" t="str">
        <f>'Master BOQ Pricing_2018-01-08'!C169</f>
        <v>FIBRE TERMINATION (JOINTING / SPLICE OF FIBRE IN MANHOLES  OPTIVAL DISTRIBUTION FRAMES AND PATCH PANELS)</v>
      </c>
      <c r="D27" s="83"/>
      <c r="E27" s="259"/>
      <c r="F27" s="123"/>
      <c r="G27" s="122"/>
      <c r="H27" s="123"/>
      <c r="I27" s="120"/>
      <c r="J27" s="121"/>
      <c r="K27" s="601"/>
      <c r="L27" s="123"/>
      <c r="M27" s="120"/>
      <c r="N27" s="121"/>
      <c r="O27" s="601"/>
      <c r="P27" s="123"/>
      <c r="Q27" s="120"/>
      <c r="R27" s="121"/>
      <c r="S27" s="601"/>
      <c r="T27" s="123"/>
      <c r="U27" s="120"/>
      <c r="V27" s="121"/>
      <c r="W27" s="601"/>
      <c r="X27" s="120"/>
      <c r="Y27" s="121"/>
      <c r="Z27" s="601"/>
    </row>
    <row r="28" spans="2:26">
      <c r="B28" s="118">
        <f>'Master BOQ Pricing_2018-01-08'!B170</f>
        <v>10.01</v>
      </c>
      <c r="C28" s="78" t="str">
        <f>'Master BOQ Pricing_2018-01-08'!C170</f>
        <v>Supply and Label ODF and Cables</v>
      </c>
      <c r="D28" s="92" t="str">
        <f>'Master BOQ Pricing_2018-01-08'!D170</f>
        <v>ea</v>
      </c>
      <c r="E28" s="256">
        <f>'Master BOQ Pricing_2018-01-08'!E170</f>
        <v>90.91</v>
      </c>
      <c r="F28" s="91">
        <f>'Infra Build BOQ'!N170</f>
        <v>0</v>
      </c>
      <c r="G28" s="106">
        <f>'Infra Build BOQ'!O170</f>
        <v>0</v>
      </c>
      <c r="H28" s="91">
        <f>'Infra Build BOQ'!T170</f>
        <v>0</v>
      </c>
      <c r="I28" s="101">
        <f>'Infra Build BOQ'!U170</f>
        <v>0</v>
      </c>
      <c r="J28" s="117">
        <f>'Infra Build BOQ'!V170</f>
        <v>0</v>
      </c>
      <c r="K28" s="600">
        <f>'Infra Build BOQ'!W170</f>
        <v>0</v>
      </c>
      <c r="L28" s="91">
        <f>'Infra Build BOQ'!X170</f>
        <v>0</v>
      </c>
      <c r="M28" s="101">
        <f>'Infra Build BOQ'!Y170</f>
        <v>0</v>
      </c>
      <c r="N28" s="117">
        <f>'Infra Build BOQ'!Z170</f>
        <v>0</v>
      </c>
      <c r="O28" s="600">
        <f>'Infra Build BOQ'!AA170</f>
        <v>0</v>
      </c>
      <c r="P28" s="91">
        <f>'Infra Build BOQ'!AB170</f>
        <v>0</v>
      </c>
      <c r="Q28" s="101">
        <f>'Infra Build BOQ'!AC170</f>
        <v>0</v>
      </c>
      <c r="R28" s="117">
        <f>'Infra Build BOQ'!AD170</f>
        <v>0</v>
      </c>
      <c r="S28" s="599">
        <f>'Infra Build BOQ'!AE170</f>
        <v>0</v>
      </c>
      <c r="T28" s="91">
        <f>'Infra Build BOQ'!AF170</f>
        <v>0</v>
      </c>
      <c r="U28" s="101">
        <f>'Infra Build BOQ'!AG170</f>
        <v>0</v>
      </c>
      <c r="V28" s="117">
        <f>'Infra Build BOQ'!AH170</f>
        <v>0</v>
      </c>
      <c r="W28" s="599">
        <f>'Infra Build BOQ'!AI170</f>
        <v>0</v>
      </c>
      <c r="X28" s="101">
        <f>'Infra Build BOQ'!AJ170</f>
        <v>0</v>
      </c>
      <c r="Y28" s="117">
        <f>'Infra Build BOQ'!AK170</f>
        <v>0</v>
      </c>
      <c r="Z28" s="599">
        <f>'Infra Build BOQ'!AL170</f>
        <v>0</v>
      </c>
    </row>
    <row r="29" spans="2:26">
      <c r="B29" s="234">
        <f>'Master BOQ Pricing_2018-01-08'!B174</f>
        <v>11</v>
      </c>
      <c r="C29" s="80" t="str">
        <f>'Master BOQ Pricing_2018-01-08'!C174</f>
        <v>FIBRE CABLE TEST PER STRAND AND ACCESSORIES</v>
      </c>
      <c r="D29" s="83"/>
      <c r="E29" s="259"/>
      <c r="F29" s="123"/>
      <c r="G29" s="122"/>
      <c r="H29" s="123"/>
      <c r="I29" s="120"/>
      <c r="J29" s="121"/>
      <c r="K29" s="601"/>
      <c r="L29" s="123"/>
      <c r="M29" s="120"/>
      <c r="N29" s="121"/>
      <c r="O29" s="601"/>
      <c r="P29" s="123"/>
      <c r="Q29" s="120"/>
      <c r="R29" s="121"/>
      <c r="S29" s="601"/>
      <c r="T29" s="123"/>
      <c r="U29" s="120"/>
      <c r="V29" s="121"/>
      <c r="W29" s="601"/>
      <c r="X29" s="120"/>
      <c r="Y29" s="121"/>
      <c r="Z29" s="601"/>
    </row>
    <row r="30" spans="2:26">
      <c r="B30" s="116">
        <f>'Master BOQ Pricing_2018-01-08'!B175</f>
        <v>11.01</v>
      </c>
      <c r="C30" s="78" t="str">
        <f>'Master BOQ Pricing_2018-01-08'!C175</f>
        <v xml:space="preserve">Pre haul optic fibre cable test (per fibre) </v>
      </c>
      <c r="D30" s="92" t="str">
        <f>'Master BOQ Pricing_2018-01-08'!D175</f>
        <v>ea</v>
      </c>
      <c r="E30" s="256">
        <f>'Master BOQ Pricing_2018-01-08'!E175</f>
        <v>12</v>
      </c>
      <c r="F30" s="91">
        <f>'Infra Build BOQ'!N175</f>
        <v>0</v>
      </c>
      <c r="G30" s="106">
        <f>'Infra Build BOQ'!O175</f>
        <v>0</v>
      </c>
      <c r="H30" s="91">
        <f>'Infra Build BOQ'!T175</f>
        <v>0</v>
      </c>
      <c r="I30" s="101">
        <f>'Infra Build BOQ'!U175</f>
        <v>0</v>
      </c>
      <c r="J30" s="117">
        <f>'Infra Build BOQ'!V175</f>
        <v>0</v>
      </c>
      <c r="K30" s="599">
        <f>'Infra Build BOQ'!W175</f>
        <v>0</v>
      </c>
      <c r="L30" s="91">
        <f>'Infra Build BOQ'!X175</f>
        <v>0</v>
      </c>
      <c r="M30" s="101">
        <f>'Infra Build BOQ'!Y175</f>
        <v>0</v>
      </c>
      <c r="N30" s="117">
        <f>'Infra Build BOQ'!Z175</f>
        <v>0</v>
      </c>
      <c r="O30" s="599">
        <f>'Infra Build BOQ'!AA175</f>
        <v>0</v>
      </c>
      <c r="P30" s="91">
        <f>'Infra Build BOQ'!AB175</f>
        <v>0</v>
      </c>
      <c r="Q30" s="101">
        <f>'Infra Build BOQ'!AC175</f>
        <v>0</v>
      </c>
      <c r="R30" s="117">
        <f>'Infra Build BOQ'!AD175</f>
        <v>0</v>
      </c>
      <c r="S30" s="599">
        <f>'Infra Build BOQ'!AE175</f>
        <v>0</v>
      </c>
      <c r="T30" s="91">
        <f>'Infra Build BOQ'!AF175</f>
        <v>0</v>
      </c>
      <c r="U30" s="101">
        <f>'Infra Build BOQ'!AG175</f>
        <v>0</v>
      </c>
      <c r="V30" s="117">
        <f>'Infra Build BOQ'!AH175</f>
        <v>0</v>
      </c>
      <c r="W30" s="599">
        <f>'Infra Build BOQ'!AI175</f>
        <v>0</v>
      </c>
      <c r="X30" s="101">
        <f>'Infra Build BOQ'!AJ175</f>
        <v>0</v>
      </c>
      <c r="Y30" s="117">
        <f>'Infra Build BOQ'!AK175</f>
        <v>0</v>
      </c>
      <c r="Z30" s="599">
        <f>'Infra Build BOQ'!AL175</f>
        <v>0</v>
      </c>
    </row>
    <row r="31" spans="2:26">
      <c r="B31" s="116">
        <f>'Master BOQ Pricing_2018-01-08'!B176</f>
        <v>11.02</v>
      </c>
      <c r="C31" s="78" t="str">
        <f>'Master BOQ Pricing_2018-01-08'!C176</f>
        <v xml:space="preserve">Post haul optic fibre cable test (per fibre) </v>
      </c>
      <c r="D31" s="92" t="str">
        <f>'Master BOQ Pricing_2018-01-08'!D176</f>
        <v>ea</v>
      </c>
      <c r="E31" s="256">
        <f>'Master BOQ Pricing_2018-01-08'!E176</f>
        <v>15</v>
      </c>
      <c r="F31" s="91">
        <f>'Infra Build BOQ'!N176</f>
        <v>0</v>
      </c>
      <c r="G31" s="106">
        <f>'Infra Build BOQ'!O176</f>
        <v>0</v>
      </c>
      <c r="H31" s="91">
        <f>'Infra Build BOQ'!T176</f>
        <v>0</v>
      </c>
      <c r="I31" s="101">
        <f>'Infra Build BOQ'!U176</f>
        <v>0</v>
      </c>
      <c r="J31" s="117">
        <f>'Infra Build BOQ'!V176</f>
        <v>0</v>
      </c>
      <c r="K31" s="599">
        <f>'Infra Build BOQ'!W176</f>
        <v>0</v>
      </c>
      <c r="L31" s="91">
        <f>'Infra Build BOQ'!X176</f>
        <v>0</v>
      </c>
      <c r="M31" s="101">
        <f>'Infra Build BOQ'!Y176</f>
        <v>0</v>
      </c>
      <c r="N31" s="117">
        <f>'Infra Build BOQ'!Z176</f>
        <v>0</v>
      </c>
      <c r="O31" s="599">
        <f>'Infra Build BOQ'!AA176</f>
        <v>0</v>
      </c>
      <c r="P31" s="91">
        <f>'Infra Build BOQ'!AB176</f>
        <v>0</v>
      </c>
      <c r="Q31" s="101">
        <f>'Infra Build BOQ'!AC176</f>
        <v>0</v>
      </c>
      <c r="R31" s="117">
        <f>'Infra Build BOQ'!AD176</f>
        <v>0</v>
      </c>
      <c r="S31" s="599">
        <f>'Infra Build BOQ'!AE176</f>
        <v>0</v>
      </c>
      <c r="T31" s="91">
        <f>'Infra Build BOQ'!AF176</f>
        <v>0</v>
      </c>
      <c r="U31" s="101">
        <f>'Infra Build BOQ'!AG176</f>
        <v>0</v>
      </c>
      <c r="V31" s="117">
        <f>'Infra Build BOQ'!AH176</f>
        <v>0</v>
      </c>
      <c r="W31" s="599">
        <f>'Infra Build BOQ'!AI176</f>
        <v>0</v>
      </c>
      <c r="X31" s="101">
        <f>'Infra Build BOQ'!AJ176</f>
        <v>0</v>
      </c>
      <c r="Y31" s="117">
        <f>'Infra Build BOQ'!AK176</f>
        <v>0</v>
      </c>
      <c r="Z31" s="599">
        <f>'Infra Build BOQ'!AL176</f>
        <v>0</v>
      </c>
    </row>
    <row r="32" spans="2:26">
      <c r="B32" s="116">
        <f>'Master BOQ Pricing_2018-01-08'!B177</f>
        <v>11.03</v>
      </c>
      <c r="C32" s="78" t="str">
        <f>'Master BOQ Pricing_2018-01-08'!C177</f>
        <v>Relay section test bi-directional OTDR including report</v>
      </c>
      <c r="D32" s="92" t="str">
        <f>'Master BOQ Pricing_2018-01-08'!D177</f>
        <v>ea</v>
      </c>
      <c r="E32" s="256">
        <f>'Master BOQ Pricing_2018-01-08'!E177</f>
        <v>25</v>
      </c>
      <c r="F32" s="103"/>
      <c r="G32" s="107"/>
      <c r="H32" s="103"/>
      <c r="I32" s="135"/>
      <c r="J32" s="136"/>
      <c r="K32" s="602"/>
      <c r="L32" s="103"/>
      <c r="M32" s="135"/>
      <c r="N32" s="136"/>
      <c r="O32" s="602"/>
      <c r="P32" s="103"/>
      <c r="Q32" s="135"/>
      <c r="R32" s="136"/>
      <c r="S32" s="602"/>
      <c r="T32" s="103"/>
      <c r="U32" s="135"/>
      <c r="V32" s="136"/>
      <c r="W32" s="602"/>
      <c r="X32" s="135"/>
      <c r="Y32" s="136"/>
      <c r="Z32" s="602"/>
    </row>
    <row r="33" spans="1:26">
      <c r="B33" s="116">
        <f>'Master BOQ Pricing_2018-01-08'!B178</f>
        <v>11.04</v>
      </c>
      <c r="C33" s="78" t="str">
        <f>'Master BOQ Pricing_2018-01-08'!C178</f>
        <v>Relay section test- Bi-directional Power And Light source testing and fibre verification including report</v>
      </c>
      <c r="D33" s="92" t="str">
        <f>'Master BOQ Pricing_2018-01-08'!D178</f>
        <v>ea</v>
      </c>
      <c r="E33" s="256">
        <f>'Master BOQ Pricing_2018-01-08'!E178</f>
        <v>20</v>
      </c>
      <c r="F33" s="103"/>
      <c r="G33" s="107"/>
      <c r="H33" s="103"/>
      <c r="I33" s="135"/>
      <c r="J33" s="136"/>
      <c r="K33" s="602"/>
      <c r="L33" s="103"/>
      <c r="M33" s="135"/>
      <c r="N33" s="136"/>
      <c r="O33" s="602"/>
      <c r="P33" s="103"/>
      <c r="Q33" s="135"/>
      <c r="R33" s="136"/>
      <c r="S33" s="602"/>
      <c r="T33" s="103"/>
      <c r="U33" s="135"/>
      <c r="V33" s="136"/>
      <c r="W33" s="602"/>
      <c r="X33" s="135"/>
      <c r="Y33" s="136"/>
      <c r="Z33" s="602"/>
    </row>
    <row r="34" spans="1:26">
      <c r="B34" s="116">
        <f>'Master BOQ Pricing_2018-01-08'!B179</f>
        <v>11.05</v>
      </c>
      <c r="C34" s="78" t="str">
        <f>'Master BOQ Pricing_2018-01-08'!C179</f>
        <v>Call Out fee per hour</v>
      </c>
      <c r="D34" s="92" t="str">
        <f>'Master BOQ Pricing_2018-01-08'!D179</f>
        <v>ea</v>
      </c>
      <c r="E34" s="256">
        <f>'Master BOQ Pricing_2018-01-08'!E179</f>
        <v>350</v>
      </c>
      <c r="F34" s="91">
        <f>'Infra Build BOQ'!N179</f>
        <v>0</v>
      </c>
      <c r="G34" s="106">
        <f>'Infra Build BOQ'!O179</f>
        <v>0</v>
      </c>
      <c r="H34" s="91">
        <f>'Infra Build BOQ'!T179</f>
        <v>0</v>
      </c>
      <c r="I34" s="101">
        <f>'Infra Build BOQ'!U179</f>
        <v>0</v>
      </c>
      <c r="J34" s="117">
        <f>'Infra Build BOQ'!V179</f>
        <v>0</v>
      </c>
      <c r="K34" s="599">
        <f>'Infra Build BOQ'!W179</f>
        <v>0</v>
      </c>
      <c r="L34" s="91">
        <f>'Infra Build BOQ'!X179</f>
        <v>0</v>
      </c>
      <c r="M34" s="101">
        <f>'Infra Build BOQ'!Y179</f>
        <v>0</v>
      </c>
      <c r="N34" s="117">
        <f>'Infra Build BOQ'!Z179</f>
        <v>0</v>
      </c>
      <c r="O34" s="599">
        <f>'Infra Build BOQ'!AA179</f>
        <v>0</v>
      </c>
      <c r="P34" s="91">
        <f>'Infra Build BOQ'!AB179</f>
        <v>0</v>
      </c>
      <c r="Q34" s="101">
        <f>'Infra Build BOQ'!AC179</f>
        <v>0</v>
      </c>
      <c r="R34" s="117">
        <f>'Infra Build BOQ'!AD179</f>
        <v>0</v>
      </c>
      <c r="S34" s="599">
        <f>'Infra Build BOQ'!AE179</f>
        <v>0</v>
      </c>
      <c r="T34" s="91">
        <f>'Infra Build BOQ'!AF179</f>
        <v>0</v>
      </c>
      <c r="U34" s="101">
        <f>'Infra Build BOQ'!AG179</f>
        <v>0</v>
      </c>
      <c r="V34" s="117">
        <f>'Infra Build BOQ'!AH179</f>
        <v>0</v>
      </c>
      <c r="W34" s="599">
        <f>'Infra Build BOQ'!AI179</f>
        <v>0</v>
      </c>
      <c r="X34" s="101">
        <f>'Infra Build BOQ'!AJ179</f>
        <v>0</v>
      </c>
      <c r="Y34" s="117">
        <f>'Infra Build BOQ'!AK179</f>
        <v>0</v>
      </c>
      <c r="Z34" s="599">
        <f>'Infra Build BOQ'!AL179</f>
        <v>0</v>
      </c>
    </row>
    <row r="35" spans="1:26">
      <c r="B35" s="112"/>
      <c r="C35" s="81"/>
      <c r="D35" s="82"/>
      <c r="E35" s="113"/>
      <c r="F35" s="123"/>
      <c r="G35" s="122"/>
      <c r="H35" s="123"/>
      <c r="I35" s="120"/>
      <c r="J35" s="121"/>
      <c r="K35" s="122"/>
      <c r="L35" s="123"/>
      <c r="M35" s="120"/>
      <c r="N35" s="121"/>
      <c r="O35" s="122"/>
      <c r="P35" s="123"/>
      <c r="Q35" s="120"/>
      <c r="R35" s="121"/>
      <c r="S35" s="122"/>
      <c r="T35" s="123"/>
      <c r="U35" s="120"/>
      <c r="V35" s="121"/>
      <c r="W35" s="122"/>
      <c r="X35" s="120"/>
      <c r="Y35" s="121"/>
      <c r="Z35" s="122"/>
    </row>
    <row r="36" spans="1:26" s="16" customFormat="1" ht="18.600000000000001" thickBot="1">
      <c r="B36" s="17"/>
      <c r="C36" s="18"/>
      <c r="D36" s="17"/>
      <c r="E36" s="19" t="s">
        <v>5</v>
      </c>
      <c r="F36" s="17"/>
      <c r="G36" s="73">
        <f>SUM(G13:G35)</f>
        <v>0</v>
      </c>
      <c r="H36" s="17"/>
      <c r="I36" s="50"/>
      <c r="J36" s="51">
        <f>SUM(J13:J35)</f>
        <v>0</v>
      </c>
      <c r="K36" s="17"/>
      <c r="L36" s="17"/>
      <c r="M36" s="50"/>
      <c r="N36" s="51">
        <f>SUM(N13:N35)</f>
        <v>0</v>
      </c>
      <c r="R36" s="74">
        <f>SUM(R13:R35)</f>
        <v>0</v>
      </c>
      <c r="V36" s="74">
        <f>SUM(V13:V35)</f>
        <v>0</v>
      </c>
      <c r="Y36" s="74">
        <f>SUM(Y13:Y35)</f>
        <v>0</v>
      </c>
    </row>
    <row r="37" spans="1:26" ht="14.4" thickTop="1">
      <c r="B37" s="5"/>
      <c r="C37" s="6"/>
      <c r="D37" s="5"/>
      <c r="E37" s="7"/>
      <c r="F37" s="5"/>
      <c r="G37" s="5"/>
      <c r="H37" s="5"/>
      <c r="I37" s="5"/>
      <c r="J37" s="52"/>
      <c r="K37" s="5"/>
    </row>
    <row r="38" spans="1:26" ht="14.4">
      <c r="A38" s="1"/>
      <c r="B38" s="1"/>
      <c r="C38" s="1"/>
      <c r="D38" s="1"/>
      <c r="E38" s="1"/>
      <c r="F38" s="8"/>
      <c r="G38" s="8"/>
      <c r="H38" s="154" t="s">
        <v>220</v>
      </c>
      <c r="I38" s="154"/>
      <c r="J38" s="155">
        <f>J36-G36</f>
        <v>0</v>
      </c>
      <c r="K38" s="154"/>
      <c r="L38" s="154" t="s">
        <v>222</v>
      </c>
      <c r="M38" s="154"/>
      <c r="N38" s="155">
        <f>N36-J36</f>
        <v>0</v>
      </c>
      <c r="O38" s="154"/>
      <c r="P38" s="154" t="s">
        <v>224</v>
      </c>
      <c r="Q38" s="154"/>
      <c r="R38" s="155">
        <f>R36-N36</f>
        <v>0</v>
      </c>
      <c r="S38" s="154"/>
      <c r="T38" s="154" t="s">
        <v>226</v>
      </c>
      <c r="U38" s="154"/>
      <c r="V38" s="155">
        <f>V36-R36</f>
        <v>0</v>
      </c>
      <c r="W38" s="154"/>
      <c r="X38" s="154" t="s">
        <v>228</v>
      </c>
      <c r="Y38" s="155">
        <f>Y36-G36</f>
        <v>0</v>
      </c>
      <c r="Z38" s="151"/>
    </row>
    <row r="39" spans="1:26" s="10" customFormat="1" ht="18">
      <c r="A39" s="2"/>
      <c r="B39" s="2"/>
      <c r="C39" s="95"/>
      <c r="D39" s="95"/>
      <c r="E39" s="95"/>
      <c r="F39" s="20"/>
      <c r="G39" s="20"/>
      <c r="H39" s="154" t="s">
        <v>221</v>
      </c>
      <c r="I39" s="154"/>
      <c r="J39" s="157" t="e">
        <f>J38/G36</f>
        <v>#DIV/0!</v>
      </c>
      <c r="K39" s="154"/>
      <c r="L39" s="154" t="s">
        <v>223</v>
      </c>
      <c r="M39" s="154"/>
      <c r="N39" s="157" t="e">
        <f>N38/J36</f>
        <v>#DIV/0!</v>
      </c>
      <c r="O39" s="154"/>
      <c r="P39" s="154" t="s">
        <v>225</v>
      </c>
      <c r="Q39" s="154"/>
      <c r="R39" s="157" t="e">
        <f>R38/N36</f>
        <v>#DIV/0!</v>
      </c>
      <c r="S39" s="154"/>
      <c r="T39" s="154" t="s">
        <v>227</v>
      </c>
      <c r="U39" s="154"/>
      <c r="V39" s="157" t="e">
        <f>V38/R36</f>
        <v>#DIV/0!</v>
      </c>
      <c r="W39" s="154"/>
      <c r="X39" s="154" t="s">
        <v>229</v>
      </c>
      <c r="Y39" s="157" t="e">
        <f>Y38/G36</f>
        <v>#DIV/0!</v>
      </c>
      <c r="Z39" s="158"/>
    </row>
    <row r="40" spans="1:26" s="10" customFormat="1" ht="18">
      <c r="A40" s="20"/>
      <c r="B40" s="20"/>
      <c r="C40" s="20"/>
      <c r="D40" s="20"/>
      <c r="E40" s="20"/>
      <c r="F40" s="20"/>
      <c r="G40" s="20"/>
      <c r="H40" s="20"/>
      <c r="I40" s="20"/>
    </row>
    <row r="41" spans="1:26" ht="18">
      <c r="A41" s="10"/>
      <c r="B41" s="10"/>
      <c r="C41" s="11"/>
      <c r="D41" s="11"/>
      <c r="E41" s="11"/>
      <c r="H41" s="10"/>
      <c r="I41" s="10"/>
    </row>
    <row r="42" spans="1:26" ht="18">
      <c r="A42" s="10"/>
      <c r="B42" s="10"/>
      <c r="C42" s="11"/>
      <c r="D42" s="1188"/>
      <c r="E42" s="1188"/>
      <c r="H42" s="10"/>
      <c r="I42" s="10"/>
    </row>
    <row r="43" spans="1:26" ht="18">
      <c r="A43" s="10"/>
      <c r="B43" s="10"/>
      <c r="C43" s="11"/>
      <c r="D43" s="1188"/>
      <c r="E43" s="1188"/>
      <c r="H43" s="10"/>
      <c r="I43" s="10"/>
    </row>
  </sheetData>
  <sheetProtection algorithmName="SHA-512" hashValue="4+7gNH+/k9W0pzVudwtukQkZ62k3ZvbDXK+33anv0DLfw5rWY21SG+QmZCUDhJaNX3E4SDOSD5OPA3LLvqdNdA==" saltValue="VVACsaY8UEy1Cnb2350QyA==" spinCount="100000" sheet="1" objects="1" scenarios="1" formatCells="0" formatColumns="0" formatRows="0" insertHyperlinks="0" sort="0" autoFilter="0" pivotTables="0"/>
  <autoFilter ref="B12:Z12" xr:uid="{00000000-0009-0000-0000-00000F000000}"/>
  <mergeCells count="15">
    <mergeCell ref="B2:E2"/>
    <mergeCell ref="D3:E3"/>
    <mergeCell ref="D4:E4"/>
    <mergeCell ref="H2:Z2"/>
    <mergeCell ref="H3:Z10"/>
    <mergeCell ref="D5:E5"/>
    <mergeCell ref="D6:E6"/>
    <mergeCell ref="B11:E11"/>
    <mergeCell ref="H11:Z11"/>
    <mergeCell ref="D42:E42"/>
    <mergeCell ref="D43:E43"/>
    <mergeCell ref="F3:G3"/>
    <mergeCell ref="F4:G4"/>
    <mergeCell ref="F5:G5"/>
    <mergeCell ref="F6:G6"/>
  </mergeCells>
  <phoneticPr fontId="139" type="noConversion"/>
  <printOptions horizontalCentered="1"/>
  <pageMargins left="0.31496062992125984" right="0.31496062992125984" top="0.74803149606299213" bottom="0.74803149606299213" header="0.31496062992125984" footer="0.31496062992125984"/>
  <pageSetup paperSize="9" scale="25" orientation="landscape" r:id="rId1"/>
  <ignoredErrors>
    <ignoredError sqref="F14" unlockedFormula="1"/>
  </ignoredError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5">
    <tabColor rgb="FF00B0F0"/>
  </sheetPr>
  <dimension ref="A1:Z39"/>
  <sheetViews>
    <sheetView showGridLines="0" zoomScale="80" zoomScaleNormal="80" workbookViewId="0">
      <selection activeCell="Y35" sqref="Y35"/>
    </sheetView>
  </sheetViews>
  <sheetFormatPr defaultColWidth="4.44140625" defaultRowHeight="13.8"/>
  <cols>
    <col min="1" max="1" width="4.88671875" style="20" customWidth="1"/>
    <col min="2" max="2" width="25.109375" style="20" customWidth="1"/>
    <col min="3" max="3" width="94.33203125" style="20" customWidth="1"/>
    <col min="4" max="4" width="17.33203125" style="20" customWidth="1"/>
    <col min="5" max="5" width="12.6640625" style="20" customWidth="1"/>
    <col min="6" max="6" width="18.77734375" style="21" customWidth="1"/>
    <col min="7" max="7" width="22.77734375" style="20" customWidth="1"/>
    <col min="8" max="8" width="16" style="20" customWidth="1"/>
    <col min="9" max="9" width="18.77734375" style="20" customWidth="1"/>
    <col min="10" max="10" width="22.77734375" style="20" customWidth="1"/>
    <col min="11" max="11" width="20.77734375" style="20" customWidth="1"/>
    <col min="12" max="12" width="16" style="20" customWidth="1"/>
    <col min="13" max="13" width="18.77734375" style="20" customWidth="1"/>
    <col min="14" max="14" width="22.77734375" style="20" customWidth="1"/>
    <col min="15" max="15" width="20.77734375" style="20" customWidth="1"/>
    <col min="16" max="16" width="16" style="20" customWidth="1"/>
    <col min="17" max="17" width="18.77734375" style="20" customWidth="1"/>
    <col min="18" max="18" width="22.77734375" style="20" customWidth="1"/>
    <col min="19" max="19" width="20.77734375" style="20" customWidth="1"/>
    <col min="20" max="20" width="16" style="20" customWidth="1"/>
    <col min="21" max="21" width="18.77734375" style="20" customWidth="1"/>
    <col min="22" max="22" width="22.77734375" style="20" customWidth="1"/>
    <col min="23" max="23" width="20.77734375" style="20" customWidth="1"/>
    <col min="24" max="24" width="18.77734375" style="20" customWidth="1"/>
    <col min="25" max="25" width="22.77734375" style="20" customWidth="1"/>
    <col min="26" max="26" width="20.77734375" style="20" customWidth="1"/>
    <col min="27" max="16384" width="4.44140625" style="20"/>
  </cols>
  <sheetData>
    <row r="1" spans="1:26" ht="16.2" thickBot="1">
      <c r="A1" s="25" t="s">
        <v>117</v>
      </c>
      <c r="B1" s="26" t="str">
        <f>'Master BOQ Pricing_2018-01-08'!B1</f>
        <v>To Be viewed in conjunction with BOS_000-MS-BO-010 Rev 5</v>
      </c>
      <c r="C1" s="27"/>
      <c r="D1" s="27"/>
      <c r="E1" s="27"/>
      <c r="F1" s="28"/>
      <c r="G1" s="27"/>
      <c r="H1" s="27"/>
    </row>
    <row r="2" spans="1:26" ht="21" thickBot="1">
      <c r="A2" s="27"/>
      <c r="B2" s="1133" t="str">
        <f>'Infra Build BOQ'!B2:I2</f>
        <v>77K0057591  /  77K0057591</v>
      </c>
      <c r="C2" s="1134"/>
      <c r="D2" s="1134"/>
      <c r="E2" s="1134"/>
      <c r="F2" s="1134"/>
      <c r="G2" s="1134"/>
      <c r="H2" s="1098"/>
      <c r="I2" s="1099"/>
      <c r="J2" s="1099"/>
      <c r="K2" s="1099"/>
      <c r="L2" s="1099"/>
      <c r="M2" s="1099"/>
      <c r="N2" s="1099"/>
      <c r="O2" s="1099"/>
      <c r="P2" s="1099"/>
      <c r="Q2" s="1099"/>
      <c r="R2" s="1099"/>
      <c r="S2" s="1099"/>
      <c r="T2" s="1099"/>
      <c r="U2" s="1099"/>
      <c r="V2" s="1099"/>
      <c r="W2" s="1099"/>
      <c r="X2" s="1099"/>
      <c r="Y2" s="1099"/>
      <c r="Z2" s="1100"/>
    </row>
    <row r="3" spans="1:26" ht="15.6">
      <c r="A3" s="27"/>
      <c r="B3" s="88" t="s">
        <v>1</v>
      </c>
      <c r="C3" s="178" t="str">
        <f>CONCATENATE('EXE Dashboard'!C4,"  /  ",'EXE Dashboard'!C5)</f>
        <v>77K0057591  /  77K0057591</v>
      </c>
      <c r="D3" s="1142" t="s">
        <v>362</v>
      </c>
      <c r="E3" s="1191"/>
      <c r="F3" s="1111">
        <f>'Infra Build BOQ'!F3</f>
        <v>0</v>
      </c>
      <c r="G3" s="1112"/>
      <c r="H3" s="1193" t="s">
        <v>279</v>
      </c>
      <c r="I3" s="1102"/>
      <c r="J3" s="1102"/>
      <c r="K3" s="1102"/>
      <c r="L3" s="1102"/>
      <c r="M3" s="1102"/>
      <c r="N3" s="1102"/>
      <c r="O3" s="1102"/>
      <c r="P3" s="1102"/>
      <c r="Q3" s="1102"/>
      <c r="R3" s="1102"/>
      <c r="S3" s="1102"/>
      <c r="T3" s="1102"/>
      <c r="U3" s="1102"/>
      <c r="V3" s="1102"/>
      <c r="W3" s="1102"/>
      <c r="X3" s="1102"/>
      <c r="Y3" s="1102"/>
      <c r="Z3" s="1103"/>
    </row>
    <row r="4" spans="1:26" ht="16.5" customHeight="1">
      <c r="A4" s="27"/>
      <c r="B4" s="89" t="s">
        <v>0</v>
      </c>
      <c r="C4" s="449" t="str">
        <f>'Infra Build BOQ'!C4</f>
        <v xml:space="preserve">Eletronic Communications Network (Pty) Ltd </v>
      </c>
      <c r="D4" s="1144" t="s">
        <v>2</v>
      </c>
      <c r="E4" s="1192"/>
      <c r="F4" s="1114" t="str">
        <f>'Infra Build BOQ'!F4</f>
        <v>Ethekwini</v>
      </c>
      <c r="G4" s="1115"/>
      <c r="H4" s="1194"/>
      <c r="I4" s="1104"/>
      <c r="J4" s="1104"/>
      <c r="K4" s="1104"/>
      <c r="L4" s="1104"/>
      <c r="M4" s="1104"/>
      <c r="N4" s="1104"/>
      <c r="O4" s="1104"/>
      <c r="P4" s="1104"/>
      <c r="Q4" s="1104"/>
      <c r="R4" s="1104"/>
      <c r="S4" s="1104"/>
      <c r="T4" s="1104"/>
      <c r="U4" s="1104"/>
      <c r="V4" s="1104"/>
      <c r="W4" s="1104"/>
      <c r="X4" s="1104"/>
      <c r="Y4" s="1104"/>
      <c r="Z4" s="1105"/>
    </row>
    <row r="5" spans="1:26" ht="16.5" customHeight="1">
      <c r="A5" s="27"/>
      <c r="B5" s="90" t="s">
        <v>437</v>
      </c>
      <c r="C5" s="449">
        <f>'EXE Dashboard'!C22</f>
        <v>0</v>
      </c>
      <c r="D5" s="1144" t="s">
        <v>3</v>
      </c>
      <c r="E5" s="1192"/>
      <c r="F5" s="1117" t="str">
        <f>'Infra Build BOQ'!F5</f>
        <v>Date: 2023/08/25</v>
      </c>
      <c r="G5" s="1115"/>
      <c r="H5" s="1194"/>
      <c r="I5" s="1104"/>
      <c r="J5" s="1104"/>
      <c r="K5" s="1104"/>
      <c r="L5" s="1104"/>
      <c r="M5" s="1104"/>
      <c r="N5" s="1104"/>
      <c r="O5" s="1104"/>
      <c r="P5" s="1104"/>
      <c r="Q5" s="1104"/>
      <c r="R5" s="1104"/>
      <c r="S5" s="1104"/>
      <c r="T5" s="1104"/>
      <c r="U5" s="1104"/>
      <c r="V5" s="1104"/>
      <c r="W5" s="1104"/>
      <c r="X5" s="1104"/>
      <c r="Y5" s="1104"/>
      <c r="Z5" s="1105"/>
    </row>
    <row r="6" spans="1:26" ht="33" customHeight="1" thickBot="1">
      <c r="A6" s="27"/>
      <c r="B6" s="90" t="s">
        <v>230</v>
      </c>
      <c r="C6" s="450" t="s">
        <v>465</v>
      </c>
      <c r="D6" s="1144" t="s">
        <v>361</v>
      </c>
      <c r="E6" s="1192"/>
      <c r="F6" s="1148" t="str">
        <f>'Infra Build BOQ'!F6</f>
        <v>Phoenix Industrial Access PoP - ECN - Roots Dube Village</v>
      </c>
      <c r="G6" s="1196"/>
      <c r="H6" s="1194"/>
      <c r="I6" s="1104"/>
      <c r="J6" s="1104"/>
      <c r="K6" s="1104"/>
      <c r="L6" s="1104"/>
      <c r="M6" s="1104"/>
      <c r="N6" s="1104"/>
      <c r="O6" s="1104"/>
      <c r="P6" s="1104"/>
      <c r="Q6" s="1104"/>
      <c r="R6" s="1104"/>
      <c r="S6" s="1104"/>
      <c r="T6" s="1104"/>
      <c r="U6" s="1104"/>
      <c r="V6" s="1104"/>
      <c r="W6" s="1104"/>
      <c r="X6" s="1104"/>
      <c r="Y6" s="1104"/>
      <c r="Z6" s="1105"/>
    </row>
    <row r="7" spans="1:26" ht="17.25" customHeight="1" thickBot="1">
      <c r="A7" s="27"/>
      <c r="B7" s="128" t="s">
        <v>118</v>
      </c>
      <c r="C7" s="129"/>
      <c r="D7" s="130"/>
      <c r="E7" s="130"/>
      <c r="F7" s="131"/>
      <c r="G7" s="131"/>
      <c r="H7" s="1194"/>
      <c r="I7" s="1104"/>
      <c r="J7" s="1104"/>
      <c r="K7" s="1104"/>
      <c r="L7" s="1104"/>
      <c r="M7" s="1104"/>
      <c r="N7" s="1104"/>
      <c r="O7" s="1104"/>
      <c r="P7" s="1104"/>
      <c r="Q7" s="1104"/>
      <c r="R7" s="1104"/>
      <c r="S7" s="1104"/>
      <c r="T7" s="1104"/>
      <c r="U7" s="1104"/>
      <c r="V7" s="1104"/>
      <c r="W7" s="1104"/>
      <c r="X7" s="1104"/>
      <c r="Y7" s="1104"/>
      <c r="Z7" s="1105"/>
    </row>
    <row r="8" spans="1:26" ht="17.25" customHeight="1" thickBot="1">
      <c r="A8" s="27"/>
      <c r="B8" s="128"/>
      <c r="C8" s="129"/>
      <c r="D8" s="130"/>
      <c r="E8" s="130"/>
      <c r="F8" s="1087"/>
      <c r="G8" s="1087"/>
      <c r="H8" s="1194"/>
      <c r="I8" s="1104"/>
      <c r="J8" s="1104"/>
      <c r="K8" s="1104"/>
      <c r="L8" s="1104"/>
      <c r="M8" s="1104"/>
      <c r="N8" s="1104"/>
      <c r="O8" s="1104"/>
      <c r="P8" s="1104"/>
      <c r="Q8" s="1104"/>
      <c r="R8" s="1104"/>
      <c r="S8" s="1104"/>
      <c r="T8" s="1104"/>
      <c r="U8" s="1104"/>
      <c r="V8" s="1104"/>
      <c r="W8" s="1104"/>
      <c r="X8" s="1104"/>
      <c r="Y8" s="1104"/>
      <c r="Z8" s="1105"/>
    </row>
    <row r="9" spans="1:26" ht="17.25" customHeight="1" thickBot="1">
      <c r="A9" s="27"/>
      <c r="B9" s="128"/>
      <c r="C9" s="129"/>
      <c r="D9" s="130"/>
      <c r="E9" s="130"/>
      <c r="F9" s="1087"/>
      <c r="G9" s="1087"/>
      <c r="H9" s="1194"/>
      <c r="I9" s="1104"/>
      <c r="J9" s="1104"/>
      <c r="K9" s="1104"/>
      <c r="L9" s="1104"/>
      <c r="M9" s="1104"/>
      <c r="N9" s="1104"/>
      <c r="O9" s="1104"/>
      <c r="P9" s="1104"/>
      <c r="Q9" s="1104"/>
      <c r="R9" s="1104"/>
      <c r="S9" s="1104"/>
      <c r="T9" s="1104"/>
      <c r="U9" s="1104"/>
      <c r="V9" s="1104"/>
      <c r="W9" s="1104"/>
      <c r="X9" s="1104"/>
      <c r="Y9" s="1104"/>
      <c r="Z9" s="1105"/>
    </row>
    <row r="10" spans="1:26" ht="17.25" customHeight="1" thickBot="1">
      <c r="A10" s="27"/>
      <c r="B10" s="128"/>
      <c r="C10" s="133"/>
      <c r="D10" s="130"/>
      <c r="E10" s="130"/>
      <c r="F10" s="134"/>
      <c r="G10" s="125"/>
      <c r="H10" s="1195"/>
      <c r="I10" s="1107"/>
      <c r="J10" s="1107"/>
      <c r="K10" s="1107"/>
      <c r="L10" s="1107"/>
      <c r="M10" s="1107"/>
      <c r="N10" s="1107"/>
      <c r="O10" s="1107"/>
      <c r="P10" s="1107"/>
      <c r="Q10" s="1107"/>
      <c r="R10" s="1107"/>
      <c r="S10" s="1107"/>
      <c r="T10" s="1107"/>
      <c r="U10" s="1107"/>
      <c r="V10" s="1107"/>
      <c r="W10" s="1107"/>
      <c r="X10" s="1107"/>
      <c r="Y10" s="1107"/>
      <c r="Z10" s="1108"/>
    </row>
    <row r="11" spans="1:26" ht="18.600000000000001" thickBot="1">
      <c r="A11" s="27"/>
      <c r="B11" s="1189" t="s">
        <v>280</v>
      </c>
      <c r="C11" s="1190"/>
      <c r="D11" s="1190"/>
      <c r="E11" s="1190"/>
      <c r="F11" s="1190"/>
      <c r="G11" s="1190"/>
      <c r="H11" s="1078"/>
      <c r="I11" s="1079"/>
      <c r="J11" s="1079"/>
      <c r="K11" s="1079"/>
      <c r="L11" s="1079"/>
      <c r="M11" s="1079"/>
      <c r="N11" s="1079"/>
      <c r="O11" s="1079"/>
      <c r="P11" s="1079"/>
      <c r="Q11" s="1079"/>
      <c r="R11" s="1079"/>
      <c r="S11" s="1079"/>
      <c r="T11" s="1079"/>
      <c r="U11" s="1079"/>
      <c r="V11" s="1079"/>
      <c r="W11" s="1079"/>
      <c r="X11" s="1079"/>
      <c r="Y11" s="1079"/>
      <c r="Z11" s="1101"/>
    </row>
    <row r="12" spans="1:26" ht="29.4" thickBot="1">
      <c r="B12" s="251" t="s">
        <v>63</v>
      </c>
      <c r="C12" s="252" t="s">
        <v>4</v>
      </c>
      <c r="D12" s="251" t="s">
        <v>30</v>
      </c>
      <c r="E12" s="253" t="s">
        <v>64</v>
      </c>
      <c r="F12" s="76" t="s">
        <v>276</v>
      </c>
      <c r="G12" s="53" t="s">
        <v>271</v>
      </c>
      <c r="H12" s="60" t="s">
        <v>214</v>
      </c>
      <c r="I12" s="61" t="s">
        <v>211</v>
      </c>
      <c r="J12" s="62" t="s">
        <v>65</v>
      </c>
      <c r="K12" s="63" t="s">
        <v>212</v>
      </c>
      <c r="L12" s="57" t="s">
        <v>215</v>
      </c>
      <c r="M12" s="58" t="s">
        <v>211</v>
      </c>
      <c r="N12" s="59" t="s">
        <v>65</v>
      </c>
      <c r="O12" s="64" t="s">
        <v>212</v>
      </c>
      <c r="P12" s="65" t="s">
        <v>217</v>
      </c>
      <c r="Q12" s="66" t="s">
        <v>211</v>
      </c>
      <c r="R12" s="67" t="s">
        <v>65</v>
      </c>
      <c r="S12" s="68" t="s">
        <v>212</v>
      </c>
      <c r="T12" s="54" t="s">
        <v>216</v>
      </c>
      <c r="U12" s="55" t="s">
        <v>211</v>
      </c>
      <c r="V12" s="56" t="s">
        <v>65</v>
      </c>
      <c r="W12" s="69" t="s">
        <v>212</v>
      </c>
      <c r="X12" s="70" t="s">
        <v>218</v>
      </c>
      <c r="Y12" s="71" t="s">
        <v>65</v>
      </c>
      <c r="Z12" s="72" t="s">
        <v>212</v>
      </c>
    </row>
    <row r="13" spans="1:26" s="151" customFormat="1">
      <c r="B13" s="234">
        <f>'Master BOQ Pricing_2018-01-08'!B14</f>
        <v>1</v>
      </c>
      <c r="C13" s="79" t="str">
        <f>'Master BOQ Pricing_2018-01-08'!C14</f>
        <v>MATERIAL MANAGEMENT</v>
      </c>
      <c r="D13" s="82"/>
      <c r="E13" s="113"/>
      <c r="F13" s="196"/>
      <c r="G13" s="105"/>
      <c r="H13" s="102"/>
      <c r="I13" s="114"/>
      <c r="J13" s="115"/>
      <c r="K13" s="105"/>
      <c r="L13" s="102"/>
      <c r="M13" s="114"/>
      <c r="N13" s="115"/>
      <c r="O13" s="105"/>
      <c r="P13" s="102"/>
      <c r="Q13" s="114"/>
      <c r="R13" s="115"/>
      <c r="S13" s="105"/>
      <c r="T13" s="102"/>
      <c r="U13" s="114"/>
      <c r="V13" s="115"/>
      <c r="W13" s="105"/>
      <c r="X13" s="114"/>
      <c r="Y13" s="115"/>
      <c r="Z13" s="105"/>
    </row>
    <row r="14" spans="1:26" s="151" customFormat="1" ht="14.4">
      <c r="B14" s="124">
        <f>'Master BOQ Pricing_2018-01-08'!B15</f>
        <v>1.1000000000000001</v>
      </c>
      <c r="C14" s="78" t="str">
        <f>'Master BOQ Pricing_2018-01-08'!C15</f>
        <v>Collect and delivery of material to Site (&gt;60km) Per Site</v>
      </c>
      <c r="D14" s="92" t="str">
        <f>'Master BOQ Pricing_2018-01-08'!D15</f>
        <v>Per Site</v>
      </c>
      <c r="E14" s="256">
        <f>'Master BOQ Pricing_2018-01-08'!E15</f>
        <v>850</v>
      </c>
      <c r="F14" s="560">
        <f>'Infra Build BOQ'!P15</f>
        <v>0</v>
      </c>
      <c r="G14" s="106">
        <f>E14*F14</f>
        <v>0</v>
      </c>
      <c r="H14" s="511"/>
      <c r="I14" s="142">
        <f>F14+H14</f>
        <v>0</v>
      </c>
      <c r="J14" s="143">
        <f>$E$14*I14</f>
        <v>0</v>
      </c>
      <c r="K14" s="166">
        <f>'Infra Build BOQ'!W15</f>
        <v>0</v>
      </c>
      <c r="L14" s="511"/>
      <c r="M14" s="142">
        <f>I14+L14</f>
        <v>0</v>
      </c>
      <c r="N14" s="143">
        <f>$E$14*M14</f>
        <v>0</v>
      </c>
      <c r="O14" s="166">
        <f>'Infra Build BOQ'!AA15</f>
        <v>0</v>
      </c>
      <c r="P14" s="511"/>
      <c r="Q14" s="142">
        <f>M14+P14</f>
        <v>0</v>
      </c>
      <c r="R14" s="143">
        <f>$E$14*Q14</f>
        <v>0</v>
      </c>
      <c r="S14" s="166">
        <f>'Infra Build BOQ'!AE15</f>
        <v>0</v>
      </c>
      <c r="T14" s="511"/>
      <c r="U14" s="142">
        <f>Q14+T14</f>
        <v>0</v>
      </c>
      <c r="V14" s="143">
        <f>$E$14*U14</f>
        <v>0</v>
      </c>
      <c r="W14" s="166">
        <f>'Infra Build BOQ'!AI15</f>
        <v>0</v>
      </c>
      <c r="X14" s="511"/>
      <c r="Y14" s="143">
        <f>$E$14*X14</f>
        <v>0</v>
      </c>
      <c r="Z14" s="166">
        <f>'Infra Build BOQ'!AL15</f>
        <v>0</v>
      </c>
    </row>
    <row r="15" spans="1:26" s="151" customFormat="1">
      <c r="B15" s="169">
        <f>'Master BOQ Pricing_2018-01-08'!B180</f>
        <v>12</v>
      </c>
      <c r="C15" s="170" t="str">
        <f>'Master BOQ Pricing_2018-01-08'!C180</f>
        <v>FOCUS INSTALLATIONS</v>
      </c>
      <c r="D15" s="171"/>
      <c r="E15" s="257"/>
      <c r="F15" s="561"/>
      <c r="G15" s="122"/>
      <c r="H15" s="123"/>
      <c r="I15" s="120"/>
      <c r="J15" s="121"/>
      <c r="K15" s="164"/>
      <c r="L15" s="123"/>
      <c r="M15" s="120"/>
      <c r="N15" s="121"/>
      <c r="O15" s="164"/>
      <c r="P15" s="123"/>
      <c r="Q15" s="120"/>
      <c r="R15" s="121"/>
      <c r="S15" s="164"/>
      <c r="T15" s="123"/>
      <c r="U15" s="120"/>
      <c r="V15" s="121"/>
      <c r="W15" s="164"/>
      <c r="X15" s="120"/>
      <c r="Y15" s="121"/>
      <c r="Z15" s="164"/>
    </row>
    <row r="16" spans="1:26" s="151" customFormat="1">
      <c r="B16" s="118">
        <f>'Master BOQ Pricing_2018-01-08'!B181</f>
        <v>12.01</v>
      </c>
      <c r="C16" s="78" t="str">
        <f>'Master BOQ Pricing_2018-01-08'!C181</f>
        <v>Sewer Manhole Wall Core drilling -120mm</v>
      </c>
      <c r="D16" s="92" t="str">
        <f>'Master BOQ Pricing_2018-01-08'!D181</f>
        <v>ea</v>
      </c>
      <c r="E16" s="256">
        <f>'Master BOQ Pricing_2018-01-08'!E181</f>
        <v>145.35</v>
      </c>
      <c r="F16" s="560">
        <f>'Infra Build BOQ'!P181</f>
        <v>0</v>
      </c>
      <c r="G16" s="106">
        <f>'Infra Build BOQ'!Q181</f>
        <v>0</v>
      </c>
      <c r="H16" s="91">
        <f>'Infra Build BOQ'!T181</f>
        <v>0</v>
      </c>
      <c r="I16" s="101">
        <f>'Infra Build BOQ'!U181</f>
        <v>0</v>
      </c>
      <c r="J16" s="117">
        <f>'Infra Build BOQ'!V181</f>
        <v>0</v>
      </c>
      <c r="K16" s="159">
        <f>'Infra Build BOQ'!W181</f>
        <v>0</v>
      </c>
      <c r="L16" s="91">
        <f>'Infra Build BOQ'!X181</f>
        <v>0</v>
      </c>
      <c r="M16" s="101">
        <f>'Infra Build BOQ'!Y181</f>
        <v>0</v>
      </c>
      <c r="N16" s="117">
        <f>'Infra Build BOQ'!Z181</f>
        <v>0</v>
      </c>
      <c r="O16" s="159">
        <f>'Infra Build BOQ'!AA181</f>
        <v>0</v>
      </c>
      <c r="P16" s="91">
        <f>'Infra Build BOQ'!AB181</f>
        <v>0</v>
      </c>
      <c r="Q16" s="101">
        <f>'Infra Build BOQ'!AC181</f>
        <v>0</v>
      </c>
      <c r="R16" s="117">
        <f>'Infra Build BOQ'!AD181</f>
        <v>0</v>
      </c>
      <c r="S16" s="159">
        <f>'Infra Build BOQ'!AE181</f>
        <v>0</v>
      </c>
      <c r="T16" s="91">
        <f>'Infra Build BOQ'!AF181</f>
        <v>0</v>
      </c>
      <c r="U16" s="101">
        <f>'Infra Build BOQ'!AG181</f>
        <v>0</v>
      </c>
      <c r="V16" s="117">
        <f>'Infra Build BOQ'!AH181</f>
        <v>0</v>
      </c>
      <c r="W16" s="159">
        <f>'Infra Build BOQ'!AI181</f>
        <v>0</v>
      </c>
      <c r="X16" s="101">
        <f>'Infra Build BOQ'!AJ181</f>
        <v>0</v>
      </c>
      <c r="Y16" s="117">
        <f>'Infra Build BOQ'!AK181</f>
        <v>0</v>
      </c>
      <c r="Z16" s="159">
        <f>'Infra Build BOQ'!AL181</f>
        <v>0</v>
      </c>
    </row>
    <row r="17" spans="2:26" s="151" customFormat="1">
      <c r="B17" s="118">
        <f>'Master BOQ Pricing_2018-01-08'!B182</f>
        <v>12.02</v>
      </c>
      <c r="C17" s="78" t="str">
        <f>'Master BOQ Pricing_2018-01-08'!C182</f>
        <v>Installation and pulling/Hauling of fibre optical cable (FOCUS)</v>
      </c>
      <c r="D17" s="92" t="str">
        <f>'Master BOQ Pricing_2018-01-08'!D182</f>
        <v>m</v>
      </c>
      <c r="E17" s="256">
        <f>'Master BOQ Pricing_2018-01-08'!E182</f>
        <v>9.3699999999999992</v>
      </c>
      <c r="F17" s="560">
        <f>'Infra Build BOQ'!P182</f>
        <v>0</v>
      </c>
      <c r="G17" s="106">
        <f>'Infra Build BOQ'!Q182</f>
        <v>0</v>
      </c>
      <c r="H17" s="91">
        <f>'Infra Build BOQ'!T182</f>
        <v>0</v>
      </c>
      <c r="I17" s="101">
        <f>'Infra Build BOQ'!U182</f>
        <v>0</v>
      </c>
      <c r="J17" s="117">
        <f>'Infra Build BOQ'!V182</f>
        <v>0</v>
      </c>
      <c r="K17" s="159">
        <f>'Infra Build BOQ'!W182</f>
        <v>0</v>
      </c>
      <c r="L17" s="91">
        <f>'Infra Build BOQ'!X182</f>
        <v>0</v>
      </c>
      <c r="M17" s="101">
        <f>'Infra Build BOQ'!Y182</f>
        <v>0</v>
      </c>
      <c r="N17" s="117">
        <f>'Infra Build BOQ'!Z182</f>
        <v>0</v>
      </c>
      <c r="O17" s="159">
        <f>'Infra Build BOQ'!AA182</f>
        <v>0</v>
      </c>
      <c r="P17" s="91">
        <f>'Infra Build BOQ'!AB182</f>
        <v>0</v>
      </c>
      <c r="Q17" s="101">
        <f>'Infra Build BOQ'!AC182</f>
        <v>0</v>
      </c>
      <c r="R17" s="117">
        <f>'Infra Build BOQ'!AD182</f>
        <v>0</v>
      </c>
      <c r="S17" s="159">
        <f>'Infra Build BOQ'!AE182</f>
        <v>0</v>
      </c>
      <c r="T17" s="91">
        <f>'Infra Build BOQ'!AF182</f>
        <v>0</v>
      </c>
      <c r="U17" s="101">
        <f>'Infra Build BOQ'!AG182</f>
        <v>0</v>
      </c>
      <c r="V17" s="117">
        <f>'Infra Build BOQ'!AH182</f>
        <v>0</v>
      </c>
      <c r="W17" s="159">
        <f>'Infra Build BOQ'!AI182</f>
        <v>0</v>
      </c>
      <c r="X17" s="101">
        <f>'Infra Build BOQ'!AJ182</f>
        <v>0</v>
      </c>
      <c r="Y17" s="117">
        <f>'Infra Build BOQ'!AK182</f>
        <v>0</v>
      </c>
      <c r="Z17" s="159">
        <f>'Infra Build BOQ'!AL182</f>
        <v>0</v>
      </c>
    </row>
    <row r="18" spans="2:26" s="151" customFormat="1">
      <c r="B18" s="118">
        <f>'Master BOQ Pricing_2018-01-08'!B183</f>
        <v>12.03</v>
      </c>
      <c r="C18" s="78" t="str">
        <f>'Master BOQ Pricing_2018-01-08'!C183</f>
        <v>Installation of Entry and Exit manifold including clips</v>
      </c>
      <c r="D18" s="92" t="str">
        <f>'Master BOQ Pricing_2018-01-08'!D183</f>
        <v>ea</v>
      </c>
      <c r="E18" s="256">
        <f>'Master BOQ Pricing_2018-01-08'!E183</f>
        <v>946.8</v>
      </c>
      <c r="F18" s="560">
        <f>'Infra Build BOQ'!P183</f>
        <v>0</v>
      </c>
      <c r="G18" s="106">
        <f>'Infra Build BOQ'!Q183</f>
        <v>0</v>
      </c>
      <c r="H18" s="91">
        <f>'Infra Build BOQ'!T183</f>
        <v>0</v>
      </c>
      <c r="I18" s="101">
        <f>'Infra Build BOQ'!U183</f>
        <v>0</v>
      </c>
      <c r="J18" s="117">
        <f>'Infra Build BOQ'!V183</f>
        <v>0</v>
      </c>
      <c r="K18" s="159">
        <f>'Infra Build BOQ'!W183</f>
        <v>0</v>
      </c>
      <c r="L18" s="91">
        <f>'Infra Build BOQ'!X183</f>
        <v>0</v>
      </c>
      <c r="M18" s="101">
        <f>'Infra Build BOQ'!Y183</f>
        <v>0</v>
      </c>
      <c r="N18" s="117">
        <f>'Infra Build BOQ'!Z183</f>
        <v>0</v>
      </c>
      <c r="O18" s="159">
        <f>'Infra Build BOQ'!AA183</f>
        <v>0</v>
      </c>
      <c r="P18" s="91">
        <f>'Infra Build BOQ'!AB183</f>
        <v>0</v>
      </c>
      <c r="Q18" s="101">
        <f>'Infra Build BOQ'!AC183</f>
        <v>0</v>
      </c>
      <c r="R18" s="117">
        <f>'Infra Build BOQ'!AD183</f>
        <v>0</v>
      </c>
      <c r="S18" s="159">
        <f>'Infra Build BOQ'!AE183</f>
        <v>0</v>
      </c>
      <c r="T18" s="91">
        <f>'Infra Build BOQ'!AF183</f>
        <v>0</v>
      </c>
      <c r="U18" s="101">
        <f>'Infra Build BOQ'!AG183</f>
        <v>0</v>
      </c>
      <c r="V18" s="117">
        <f>'Infra Build BOQ'!AH183</f>
        <v>0</v>
      </c>
      <c r="W18" s="159">
        <f>'Infra Build BOQ'!AI183</f>
        <v>0</v>
      </c>
      <c r="X18" s="101">
        <f>'Infra Build BOQ'!AJ183</f>
        <v>0</v>
      </c>
      <c r="Y18" s="117">
        <f>'Infra Build BOQ'!AK183</f>
        <v>0</v>
      </c>
      <c r="Z18" s="159">
        <f>'Infra Build BOQ'!AL183</f>
        <v>0</v>
      </c>
    </row>
    <row r="19" spans="2:26" s="151" customFormat="1">
      <c r="B19" s="118">
        <f>'Master BOQ Pricing_2018-01-08'!B184</f>
        <v>12.04</v>
      </c>
      <c r="C19" s="78" t="str">
        <f>'Master BOQ Pricing_2018-01-08'!C184</f>
        <v>Installation of Entry or Exit manifold including clips</v>
      </c>
      <c r="D19" s="92" t="str">
        <f>'Master BOQ Pricing_2018-01-08'!D184</f>
        <v>ea</v>
      </c>
      <c r="E19" s="256">
        <f>'Master BOQ Pricing_2018-01-08'!E184</f>
        <v>771.01</v>
      </c>
      <c r="F19" s="560">
        <f>'Infra Build BOQ'!P184</f>
        <v>0</v>
      </c>
      <c r="G19" s="106">
        <f>'Infra Build BOQ'!Q184</f>
        <v>0</v>
      </c>
      <c r="H19" s="91">
        <f>'Infra Build BOQ'!T184</f>
        <v>0</v>
      </c>
      <c r="I19" s="101">
        <f>'Infra Build BOQ'!U184</f>
        <v>0</v>
      </c>
      <c r="J19" s="117">
        <f>'Infra Build BOQ'!V184</f>
        <v>0</v>
      </c>
      <c r="K19" s="159">
        <f>'Infra Build BOQ'!W184</f>
        <v>0</v>
      </c>
      <c r="L19" s="91">
        <f>'Infra Build BOQ'!X184</f>
        <v>0</v>
      </c>
      <c r="M19" s="101">
        <f>'Infra Build BOQ'!Y184</f>
        <v>0</v>
      </c>
      <c r="N19" s="117">
        <f>'Infra Build BOQ'!Z184</f>
        <v>0</v>
      </c>
      <c r="O19" s="159">
        <f>'Infra Build BOQ'!AA184</f>
        <v>0</v>
      </c>
      <c r="P19" s="91">
        <f>'Infra Build BOQ'!AB184</f>
        <v>0</v>
      </c>
      <c r="Q19" s="101">
        <f>'Infra Build BOQ'!AC184</f>
        <v>0</v>
      </c>
      <c r="R19" s="117">
        <f>'Infra Build BOQ'!AD184</f>
        <v>0</v>
      </c>
      <c r="S19" s="159">
        <f>'Infra Build BOQ'!AE184</f>
        <v>0</v>
      </c>
      <c r="T19" s="91">
        <f>'Infra Build BOQ'!AF184</f>
        <v>0</v>
      </c>
      <c r="U19" s="101">
        <f>'Infra Build BOQ'!AG184</f>
        <v>0</v>
      </c>
      <c r="V19" s="117">
        <f>'Infra Build BOQ'!AH184</f>
        <v>0</v>
      </c>
      <c r="W19" s="159">
        <f>'Infra Build BOQ'!AI184</f>
        <v>0</v>
      </c>
      <c r="X19" s="101">
        <f>'Infra Build BOQ'!AJ184</f>
        <v>0</v>
      </c>
      <c r="Y19" s="117">
        <f>'Infra Build BOQ'!AK184</f>
        <v>0</v>
      </c>
      <c r="Z19" s="159">
        <f>'Infra Build BOQ'!AL184</f>
        <v>0</v>
      </c>
    </row>
    <row r="20" spans="2:26" s="151" customFormat="1">
      <c r="B20" s="118">
        <f>'Master BOQ Pricing_2018-01-08'!B185</f>
        <v>12.05</v>
      </c>
      <c r="C20" s="78" t="str">
        <f>'Master BOQ Pricing_2018-01-08'!C185</f>
        <v>Installation of Straight manifold</v>
      </c>
      <c r="D20" s="92" t="str">
        <f>'Master BOQ Pricing_2018-01-08'!D185</f>
        <v>ea</v>
      </c>
      <c r="E20" s="256">
        <f>'Master BOQ Pricing_2018-01-08'!E185</f>
        <v>682.35</v>
      </c>
      <c r="F20" s="560">
        <f>'Infra Build BOQ'!P185</f>
        <v>0</v>
      </c>
      <c r="G20" s="106">
        <f>'Infra Build BOQ'!Q185</f>
        <v>0</v>
      </c>
      <c r="H20" s="91">
        <f>'Infra Build BOQ'!T185</f>
        <v>0</v>
      </c>
      <c r="I20" s="101">
        <f>'Infra Build BOQ'!U185</f>
        <v>0</v>
      </c>
      <c r="J20" s="117">
        <f>'Infra Build BOQ'!V185</f>
        <v>0</v>
      </c>
      <c r="K20" s="159">
        <f>'Infra Build BOQ'!W185</f>
        <v>0</v>
      </c>
      <c r="L20" s="91">
        <f>'Infra Build BOQ'!X185</f>
        <v>0</v>
      </c>
      <c r="M20" s="101">
        <f>'Infra Build BOQ'!Y185</f>
        <v>0</v>
      </c>
      <c r="N20" s="117">
        <f>'Infra Build BOQ'!Z185</f>
        <v>0</v>
      </c>
      <c r="O20" s="159">
        <f>'Infra Build BOQ'!AA185</f>
        <v>0</v>
      </c>
      <c r="P20" s="91">
        <f>'Infra Build BOQ'!AB185</f>
        <v>0</v>
      </c>
      <c r="Q20" s="101">
        <f>'Infra Build BOQ'!AC185</f>
        <v>0</v>
      </c>
      <c r="R20" s="117">
        <f>'Infra Build BOQ'!AD185</f>
        <v>0</v>
      </c>
      <c r="S20" s="159">
        <f>'Infra Build BOQ'!AE185</f>
        <v>0</v>
      </c>
      <c r="T20" s="91">
        <f>'Infra Build BOQ'!AF185</f>
        <v>0</v>
      </c>
      <c r="U20" s="101">
        <f>'Infra Build BOQ'!AG185</f>
        <v>0</v>
      </c>
      <c r="V20" s="117">
        <f>'Infra Build BOQ'!AH185</f>
        <v>0</v>
      </c>
      <c r="W20" s="159">
        <f>'Infra Build BOQ'!AI185</f>
        <v>0</v>
      </c>
      <c r="X20" s="101">
        <f>'Infra Build BOQ'!AJ185</f>
        <v>0</v>
      </c>
      <c r="Y20" s="117">
        <f>'Infra Build BOQ'!AK185</f>
        <v>0</v>
      </c>
      <c r="Z20" s="159">
        <f>'Infra Build BOQ'!AL185</f>
        <v>0</v>
      </c>
    </row>
    <row r="21" spans="2:26" s="151" customFormat="1">
      <c r="B21" s="118">
        <f>'Master BOQ Pricing_2018-01-08'!B186</f>
        <v>12.06</v>
      </c>
      <c r="C21" s="78" t="str">
        <f>'Master BOQ Pricing_2018-01-08'!C186</f>
        <v>Repair of Benching or Manhole Floor per manhole</v>
      </c>
      <c r="D21" s="92" t="str">
        <f>'Master BOQ Pricing_2018-01-08'!D186</f>
        <v>ea</v>
      </c>
      <c r="E21" s="256">
        <f>'Master BOQ Pricing_2018-01-08'!E186</f>
        <v>276</v>
      </c>
      <c r="F21" s="560">
        <f>'Infra Build BOQ'!P186</f>
        <v>0</v>
      </c>
      <c r="G21" s="106">
        <f>'Infra Build BOQ'!Q186</f>
        <v>0</v>
      </c>
      <c r="H21" s="91">
        <f>'Infra Build BOQ'!T186</f>
        <v>0</v>
      </c>
      <c r="I21" s="101">
        <f>'Infra Build BOQ'!U186</f>
        <v>0</v>
      </c>
      <c r="J21" s="117">
        <f>'Infra Build BOQ'!V186</f>
        <v>0</v>
      </c>
      <c r="K21" s="159">
        <f>'Infra Build BOQ'!W186</f>
        <v>0</v>
      </c>
      <c r="L21" s="91">
        <f>'Infra Build BOQ'!X186</f>
        <v>0</v>
      </c>
      <c r="M21" s="101">
        <f>'Infra Build BOQ'!Y186</f>
        <v>0</v>
      </c>
      <c r="N21" s="117">
        <f>'Infra Build BOQ'!Z186</f>
        <v>0</v>
      </c>
      <c r="O21" s="159">
        <f>'Infra Build BOQ'!AA186</f>
        <v>0</v>
      </c>
      <c r="P21" s="91">
        <f>'Infra Build BOQ'!AB186</f>
        <v>0</v>
      </c>
      <c r="Q21" s="101">
        <f>'Infra Build BOQ'!AC186</f>
        <v>0</v>
      </c>
      <c r="R21" s="117">
        <f>'Infra Build BOQ'!AD186</f>
        <v>0</v>
      </c>
      <c r="S21" s="159">
        <f>'Infra Build BOQ'!AE186</f>
        <v>0</v>
      </c>
      <c r="T21" s="91">
        <f>'Infra Build BOQ'!AF186</f>
        <v>0</v>
      </c>
      <c r="U21" s="101">
        <f>'Infra Build BOQ'!AG186</f>
        <v>0</v>
      </c>
      <c r="V21" s="117">
        <f>'Infra Build BOQ'!AH186</f>
        <v>0</v>
      </c>
      <c r="W21" s="159">
        <f>'Infra Build BOQ'!AI186</f>
        <v>0</v>
      </c>
      <c r="X21" s="101">
        <f>'Infra Build BOQ'!AJ186</f>
        <v>0</v>
      </c>
      <c r="Y21" s="117">
        <f>'Infra Build BOQ'!AK186</f>
        <v>0</v>
      </c>
      <c r="Z21" s="159">
        <f>'Infra Build BOQ'!AL186</f>
        <v>0</v>
      </c>
    </row>
    <row r="22" spans="2:26" s="151" customFormat="1">
      <c r="B22" s="118">
        <f>'Master BOQ Pricing_2018-01-08'!B187</f>
        <v>12.07</v>
      </c>
      <c r="C22" s="78" t="str">
        <f>'Master BOQ Pricing_2018-01-08'!C187</f>
        <v>Storm water Slot Cutting</v>
      </c>
      <c r="D22" s="92" t="str">
        <f>'Master BOQ Pricing_2018-01-08'!D187</f>
        <v>ea</v>
      </c>
      <c r="E22" s="256">
        <f>'Master BOQ Pricing_2018-01-08'!E187</f>
        <v>425.96</v>
      </c>
      <c r="F22" s="560">
        <f>'Infra Build BOQ'!P187</f>
        <v>0</v>
      </c>
      <c r="G22" s="106">
        <f>'Infra Build BOQ'!Q187</f>
        <v>0</v>
      </c>
      <c r="H22" s="91">
        <f>'Infra Build BOQ'!T187</f>
        <v>0</v>
      </c>
      <c r="I22" s="101">
        <f>'Infra Build BOQ'!U187</f>
        <v>0</v>
      </c>
      <c r="J22" s="117">
        <f>'Infra Build BOQ'!V187</f>
        <v>0</v>
      </c>
      <c r="K22" s="159">
        <f>'Infra Build BOQ'!W187</f>
        <v>0</v>
      </c>
      <c r="L22" s="91">
        <f>'Infra Build BOQ'!X187</f>
        <v>0</v>
      </c>
      <c r="M22" s="101">
        <f>'Infra Build BOQ'!Y187</f>
        <v>0</v>
      </c>
      <c r="N22" s="117">
        <f>'Infra Build BOQ'!Z187</f>
        <v>0</v>
      </c>
      <c r="O22" s="159">
        <f>'Infra Build BOQ'!AA187</f>
        <v>0</v>
      </c>
      <c r="P22" s="91">
        <f>'Infra Build BOQ'!AB187</f>
        <v>0</v>
      </c>
      <c r="Q22" s="101">
        <f>'Infra Build BOQ'!AC187</f>
        <v>0</v>
      </c>
      <c r="R22" s="117">
        <f>'Infra Build BOQ'!AD187</f>
        <v>0</v>
      </c>
      <c r="S22" s="159">
        <f>'Infra Build BOQ'!AE187</f>
        <v>0</v>
      </c>
      <c r="T22" s="91">
        <f>'Infra Build BOQ'!AF187</f>
        <v>0</v>
      </c>
      <c r="U22" s="101">
        <f>'Infra Build BOQ'!AG187</f>
        <v>0</v>
      </c>
      <c r="V22" s="117">
        <f>'Infra Build BOQ'!AH187</f>
        <v>0</v>
      </c>
      <c r="W22" s="159">
        <f>'Infra Build BOQ'!AI187</f>
        <v>0</v>
      </c>
      <c r="X22" s="101">
        <f>'Infra Build BOQ'!AJ187</f>
        <v>0</v>
      </c>
      <c r="Y22" s="117">
        <f>'Infra Build BOQ'!AK187</f>
        <v>0</v>
      </c>
      <c r="Z22" s="159">
        <f>'Infra Build BOQ'!AL187</f>
        <v>0</v>
      </c>
    </row>
    <row r="23" spans="2:26" s="151" customFormat="1">
      <c r="B23" s="118">
        <f>'Master BOQ Pricing_2018-01-08'!B188</f>
        <v>12.08</v>
      </c>
      <c r="C23" s="78" t="str">
        <f>'Master BOQ Pricing_2018-01-08'!C188</f>
        <v>Installation of Storm Water Entry and Exit</v>
      </c>
      <c r="D23" s="92" t="str">
        <f>'Master BOQ Pricing_2018-01-08'!D188</f>
        <v>ea</v>
      </c>
      <c r="E23" s="256">
        <f>'Master BOQ Pricing_2018-01-08'!E188</f>
        <v>586.95000000000005</v>
      </c>
      <c r="F23" s="560">
        <f>'Infra Build BOQ'!P188</f>
        <v>0</v>
      </c>
      <c r="G23" s="106">
        <f>'Infra Build BOQ'!Q188</f>
        <v>0</v>
      </c>
      <c r="H23" s="91">
        <f>'Infra Build BOQ'!T188</f>
        <v>0</v>
      </c>
      <c r="I23" s="101">
        <f>'Infra Build BOQ'!U188</f>
        <v>0</v>
      </c>
      <c r="J23" s="117">
        <f>'Infra Build BOQ'!V188</f>
        <v>0</v>
      </c>
      <c r="K23" s="159">
        <f>'Infra Build BOQ'!W188</f>
        <v>0</v>
      </c>
      <c r="L23" s="91">
        <f>'Infra Build BOQ'!X188</f>
        <v>0</v>
      </c>
      <c r="M23" s="101">
        <f>'Infra Build BOQ'!Y188</f>
        <v>0</v>
      </c>
      <c r="N23" s="117">
        <f>'Infra Build BOQ'!Z188</f>
        <v>0</v>
      </c>
      <c r="O23" s="159">
        <f>'Infra Build BOQ'!AA188</f>
        <v>0</v>
      </c>
      <c r="P23" s="91">
        <f>'Infra Build BOQ'!AB188</f>
        <v>0</v>
      </c>
      <c r="Q23" s="101">
        <f>'Infra Build BOQ'!AC188</f>
        <v>0</v>
      </c>
      <c r="R23" s="117">
        <f>'Infra Build BOQ'!AD188</f>
        <v>0</v>
      </c>
      <c r="S23" s="159">
        <f>'Infra Build BOQ'!AE188</f>
        <v>0</v>
      </c>
      <c r="T23" s="91">
        <f>'Infra Build BOQ'!AF188</f>
        <v>0</v>
      </c>
      <c r="U23" s="101">
        <f>'Infra Build BOQ'!AG188</f>
        <v>0</v>
      </c>
      <c r="V23" s="117">
        <f>'Infra Build BOQ'!AH188</f>
        <v>0</v>
      </c>
      <c r="W23" s="159">
        <f>'Infra Build BOQ'!AI188</f>
        <v>0</v>
      </c>
      <c r="X23" s="101">
        <f>'Infra Build BOQ'!AJ188</f>
        <v>0</v>
      </c>
      <c r="Y23" s="117">
        <f>'Infra Build BOQ'!AK188</f>
        <v>0</v>
      </c>
      <c r="Z23" s="159">
        <f>'Infra Build BOQ'!AL188</f>
        <v>0</v>
      </c>
    </row>
    <row r="24" spans="2:26" s="151" customFormat="1">
      <c r="B24" s="118">
        <f>'Master BOQ Pricing_2018-01-08'!B189</f>
        <v>12.09</v>
      </c>
      <c r="C24" s="78" t="str">
        <f>'Master BOQ Pricing_2018-01-08'!C189</f>
        <v>Installation of Storm Water Entry or Exit</v>
      </c>
      <c r="D24" s="92" t="str">
        <f>'Master BOQ Pricing_2018-01-08'!D189</f>
        <v>ea</v>
      </c>
      <c r="E24" s="256">
        <f>'Master BOQ Pricing_2018-01-08'!E189</f>
        <v>478</v>
      </c>
      <c r="F24" s="560">
        <f>'Infra Build BOQ'!P189</f>
        <v>0</v>
      </c>
      <c r="G24" s="106">
        <f>'Infra Build BOQ'!Q189</f>
        <v>0</v>
      </c>
      <c r="H24" s="91">
        <f>'Infra Build BOQ'!T189</f>
        <v>0</v>
      </c>
      <c r="I24" s="101">
        <f>'Infra Build BOQ'!U189</f>
        <v>0</v>
      </c>
      <c r="J24" s="117">
        <f>'Infra Build BOQ'!V189</f>
        <v>0</v>
      </c>
      <c r="K24" s="159">
        <f>'Infra Build BOQ'!W189</f>
        <v>0</v>
      </c>
      <c r="L24" s="91">
        <f>'Infra Build BOQ'!X189</f>
        <v>0</v>
      </c>
      <c r="M24" s="101">
        <f>'Infra Build BOQ'!Y189</f>
        <v>0</v>
      </c>
      <c r="N24" s="117">
        <f>'Infra Build BOQ'!Z189</f>
        <v>0</v>
      </c>
      <c r="O24" s="159">
        <f>'Infra Build BOQ'!AA189</f>
        <v>0</v>
      </c>
      <c r="P24" s="91">
        <f>'Infra Build BOQ'!AB189</f>
        <v>0</v>
      </c>
      <c r="Q24" s="101">
        <f>'Infra Build BOQ'!AC189</f>
        <v>0</v>
      </c>
      <c r="R24" s="117">
        <f>'Infra Build BOQ'!AD189</f>
        <v>0</v>
      </c>
      <c r="S24" s="159">
        <f>'Infra Build BOQ'!AE189</f>
        <v>0</v>
      </c>
      <c r="T24" s="91">
        <f>'Infra Build BOQ'!AF189</f>
        <v>0</v>
      </c>
      <c r="U24" s="101">
        <f>'Infra Build BOQ'!AG189</f>
        <v>0</v>
      </c>
      <c r="V24" s="117">
        <f>'Infra Build BOQ'!AH189</f>
        <v>0</v>
      </c>
      <c r="W24" s="159">
        <f>'Infra Build BOQ'!AI189</f>
        <v>0</v>
      </c>
      <c r="X24" s="101">
        <f>'Infra Build BOQ'!AJ189</f>
        <v>0</v>
      </c>
      <c r="Y24" s="117">
        <f>'Infra Build BOQ'!AK189</f>
        <v>0</v>
      </c>
      <c r="Z24" s="159">
        <f>'Infra Build BOQ'!AL189</f>
        <v>0</v>
      </c>
    </row>
    <row r="25" spans="2:26" s="151" customFormat="1">
      <c r="B25" s="118">
        <f>'Master BOQ Pricing_2018-01-08'!B190</f>
        <v>12.1</v>
      </c>
      <c r="C25" s="78" t="str">
        <f>'Master BOQ Pricing_2018-01-08'!C190</f>
        <v>CCTV Survey Pre Installation</v>
      </c>
      <c r="D25" s="92" t="str">
        <f>'Master BOQ Pricing_2018-01-08'!D190</f>
        <v>m</v>
      </c>
      <c r="E25" s="256">
        <f>'Master BOQ Pricing_2018-01-08'!E190</f>
        <v>14.38</v>
      </c>
      <c r="F25" s="560">
        <f>'Infra Build BOQ'!P190</f>
        <v>0</v>
      </c>
      <c r="G25" s="106">
        <f>'Infra Build BOQ'!Q190</f>
        <v>0</v>
      </c>
      <c r="H25" s="91">
        <f>'Infra Build BOQ'!T190</f>
        <v>0</v>
      </c>
      <c r="I25" s="101">
        <f>'Infra Build BOQ'!U190</f>
        <v>0</v>
      </c>
      <c r="J25" s="117">
        <f>'Infra Build BOQ'!V190</f>
        <v>0</v>
      </c>
      <c r="K25" s="159">
        <f>'Infra Build BOQ'!W190</f>
        <v>0</v>
      </c>
      <c r="L25" s="91">
        <f>'Infra Build BOQ'!X190</f>
        <v>0</v>
      </c>
      <c r="M25" s="101">
        <f>'Infra Build BOQ'!Y190</f>
        <v>0</v>
      </c>
      <c r="N25" s="117">
        <f>'Infra Build BOQ'!Z190</f>
        <v>0</v>
      </c>
      <c r="O25" s="159">
        <f>'Infra Build BOQ'!AA190</f>
        <v>0</v>
      </c>
      <c r="P25" s="91">
        <f>'Infra Build BOQ'!AB190</f>
        <v>0</v>
      </c>
      <c r="Q25" s="101">
        <f>'Infra Build BOQ'!AC190</f>
        <v>0</v>
      </c>
      <c r="R25" s="117">
        <f>'Infra Build BOQ'!AD190</f>
        <v>0</v>
      </c>
      <c r="S25" s="159">
        <f>'Infra Build BOQ'!AE190</f>
        <v>0</v>
      </c>
      <c r="T25" s="91">
        <f>'Infra Build BOQ'!AF190</f>
        <v>0</v>
      </c>
      <c r="U25" s="101">
        <f>'Infra Build BOQ'!AG190</f>
        <v>0</v>
      </c>
      <c r="V25" s="117">
        <f>'Infra Build BOQ'!AH190</f>
        <v>0</v>
      </c>
      <c r="W25" s="159">
        <f>'Infra Build BOQ'!AI190</f>
        <v>0</v>
      </c>
      <c r="X25" s="101">
        <f>'Infra Build BOQ'!AJ190</f>
        <v>0</v>
      </c>
      <c r="Y25" s="117">
        <f>'Infra Build BOQ'!AK190</f>
        <v>0</v>
      </c>
      <c r="Z25" s="159">
        <f>'Infra Build BOQ'!AL190</f>
        <v>0</v>
      </c>
    </row>
    <row r="26" spans="2:26" s="151" customFormat="1">
      <c r="B26" s="118">
        <f>'Master BOQ Pricing_2018-01-08'!B191</f>
        <v>12.11</v>
      </c>
      <c r="C26" s="78" t="str">
        <f>'Master BOQ Pricing_2018-01-08'!C191</f>
        <v>CCTV Survey   Post Installation</v>
      </c>
      <c r="D26" s="92" t="str">
        <f>'Master BOQ Pricing_2018-01-08'!D191</f>
        <v>m</v>
      </c>
      <c r="E26" s="256">
        <f>'Master BOQ Pricing_2018-01-08'!E191</f>
        <v>11.5</v>
      </c>
      <c r="F26" s="560">
        <f>'Infra Build BOQ'!P191</f>
        <v>0</v>
      </c>
      <c r="G26" s="106">
        <f>'Infra Build BOQ'!Q191</f>
        <v>0</v>
      </c>
      <c r="H26" s="91">
        <f>'Infra Build BOQ'!T191</f>
        <v>0</v>
      </c>
      <c r="I26" s="101">
        <f>'Infra Build BOQ'!U191</f>
        <v>0</v>
      </c>
      <c r="J26" s="117">
        <f>'Infra Build BOQ'!V191</f>
        <v>0</v>
      </c>
      <c r="K26" s="159">
        <f>'Infra Build BOQ'!W191</f>
        <v>0</v>
      </c>
      <c r="L26" s="91">
        <f>'Infra Build BOQ'!X191</f>
        <v>0</v>
      </c>
      <c r="M26" s="101">
        <f>'Infra Build BOQ'!Y191</f>
        <v>0</v>
      </c>
      <c r="N26" s="117">
        <f>'Infra Build BOQ'!Z191</f>
        <v>0</v>
      </c>
      <c r="O26" s="159">
        <f>'Infra Build BOQ'!AA191</f>
        <v>0</v>
      </c>
      <c r="P26" s="91">
        <f>'Infra Build BOQ'!AB191</f>
        <v>0</v>
      </c>
      <c r="Q26" s="101">
        <f>'Infra Build BOQ'!AC191</f>
        <v>0</v>
      </c>
      <c r="R26" s="117">
        <f>'Infra Build BOQ'!AD191</f>
        <v>0</v>
      </c>
      <c r="S26" s="159">
        <f>'Infra Build BOQ'!AE191</f>
        <v>0</v>
      </c>
      <c r="T26" s="91">
        <f>'Infra Build BOQ'!AF191</f>
        <v>0</v>
      </c>
      <c r="U26" s="101">
        <f>'Infra Build BOQ'!AG191</f>
        <v>0</v>
      </c>
      <c r="V26" s="117">
        <f>'Infra Build BOQ'!AH191</f>
        <v>0</v>
      </c>
      <c r="W26" s="159">
        <f>'Infra Build BOQ'!AI191</f>
        <v>0</v>
      </c>
      <c r="X26" s="101">
        <f>'Infra Build BOQ'!AJ191</f>
        <v>0</v>
      </c>
      <c r="Y26" s="117">
        <f>'Infra Build BOQ'!AK191</f>
        <v>0</v>
      </c>
      <c r="Z26" s="159">
        <f>'Infra Build BOQ'!AL191</f>
        <v>0</v>
      </c>
    </row>
    <row r="27" spans="2:26" s="151" customFormat="1">
      <c r="B27" s="118">
        <f>'Master BOQ Pricing_2018-01-08'!B192</f>
        <v>12.12</v>
      </c>
      <c r="C27" s="78" t="str">
        <f>'Master BOQ Pricing_2018-01-08'!C192</f>
        <v xml:space="preserve">High Pressure Jetting -Sewer </v>
      </c>
      <c r="D27" s="92" t="str">
        <f>'Master BOQ Pricing_2018-01-08'!D192</f>
        <v>m</v>
      </c>
      <c r="E27" s="256">
        <f>'Master BOQ Pricing_2018-01-08'!E192</f>
        <v>25.88</v>
      </c>
      <c r="F27" s="103"/>
      <c r="G27" s="197"/>
      <c r="H27" s="103"/>
      <c r="I27" s="135"/>
      <c r="J27" s="136"/>
      <c r="K27" s="167"/>
      <c r="L27" s="103"/>
      <c r="M27" s="135"/>
      <c r="N27" s="136"/>
      <c r="O27" s="167"/>
      <c r="P27" s="103"/>
      <c r="Q27" s="135"/>
      <c r="R27" s="136"/>
      <c r="S27" s="167"/>
      <c r="T27" s="103"/>
      <c r="U27" s="135"/>
      <c r="V27" s="136"/>
      <c r="W27" s="167"/>
      <c r="X27" s="135"/>
      <c r="Y27" s="136"/>
      <c r="Z27" s="167"/>
    </row>
    <row r="28" spans="2:26" s="151" customFormat="1">
      <c r="B28" s="118">
        <f>'Master BOQ Pricing_2018-01-08'!B193</f>
        <v>12.13</v>
      </c>
      <c r="C28" s="78" t="str">
        <f>'Master BOQ Pricing_2018-01-08'!C193</f>
        <v xml:space="preserve">High Pressure Jetting-StormWater </v>
      </c>
      <c r="D28" s="92" t="str">
        <f>'Master BOQ Pricing_2018-01-08'!D193</f>
        <v>m</v>
      </c>
      <c r="E28" s="256">
        <f>'Master BOQ Pricing_2018-01-08'!E193</f>
        <v>51.749999999999993</v>
      </c>
      <c r="F28" s="103"/>
      <c r="G28" s="197"/>
      <c r="H28" s="103"/>
      <c r="I28" s="135"/>
      <c r="J28" s="136"/>
      <c r="K28" s="167"/>
      <c r="L28" s="103"/>
      <c r="M28" s="135"/>
      <c r="N28" s="136"/>
      <c r="O28" s="167"/>
      <c r="P28" s="103"/>
      <c r="Q28" s="135"/>
      <c r="R28" s="136"/>
      <c r="S28" s="167"/>
      <c r="T28" s="103"/>
      <c r="U28" s="135"/>
      <c r="V28" s="136"/>
      <c r="W28" s="167"/>
      <c r="X28" s="135"/>
      <c r="Y28" s="136"/>
      <c r="Z28" s="167"/>
    </row>
    <row r="29" spans="2:26" s="151" customFormat="1">
      <c r="B29" s="118">
        <f>'Master BOQ Pricing_2018-01-08'!B194</f>
        <v>12.14</v>
      </c>
      <c r="C29" s="78" t="str">
        <f>'Master BOQ Pricing_2018-01-08'!C194</f>
        <v xml:space="preserve">Over pumping ≤300mm pipe pumping distance not exceeding 150m  </v>
      </c>
      <c r="D29" s="92" t="str">
        <f>'Master BOQ Pricing_2018-01-08'!D194</f>
        <v>hour</v>
      </c>
      <c r="E29" s="256">
        <f>'Master BOQ Pricing_2018-01-08'!E194</f>
        <v>505.99999999999994</v>
      </c>
      <c r="F29" s="103"/>
      <c r="G29" s="197"/>
      <c r="H29" s="103"/>
      <c r="I29" s="135"/>
      <c r="J29" s="136"/>
      <c r="K29" s="167"/>
      <c r="L29" s="103"/>
      <c r="M29" s="135"/>
      <c r="N29" s="136"/>
      <c r="O29" s="167"/>
      <c r="P29" s="103"/>
      <c r="Q29" s="135"/>
      <c r="R29" s="136"/>
      <c r="S29" s="167"/>
      <c r="T29" s="103"/>
      <c r="U29" s="135"/>
      <c r="V29" s="136"/>
      <c r="W29" s="167"/>
      <c r="X29" s="135"/>
      <c r="Y29" s="136"/>
      <c r="Z29" s="167"/>
    </row>
    <row r="30" spans="2:26" s="151" customFormat="1">
      <c r="B30" s="118">
        <f>'Master BOQ Pricing_2018-01-08'!B195</f>
        <v>12.15</v>
      </c>
      <c r="C30" s="78" t="str">
        <f>'Master BOQ Pricing_2018-01-08'!C195</f>
        <v>Sewer sand Bagging per manhole</v>
      </c>
      <c r="D30" s="92" t="str">
        <f>'Master BOQ Pricing_2018-01-08'!D195</f>
        <v>ea</v>
      </c>
      <c r="E30" s="256">
        <f>'Master BOQ Pricing_2018-01-08'!E195</f>
        <v>23</v>
      </c>
      <c r="F30" s="103"/>
      <c r="G30" s="197"/>
      <c r="H30" s="103"/>
      <c r="I30" s="135"/>
      <c r="J30" s="136"/>
      <c r="K30" s="167"/>
      <c r="L30" s="103"/>
      <c r="M30" s="135"/>
      <c r="N30" s="136"/>
      <c r="O30" s="167"/>
      <c r="P30" s="103"/>
      <c r="Q30" s="135"/>
      <c r="R30" s="136"/>
      <c r="S30" s="167"/>
      <c r="T30" s="103"/>
      <c r="U30" s="135"/>
      <c r="V30" s="136"/>
      <c r="W30" s="167"/>
      <c r="X30" s="135"/>
      <c r="Y30" s="136"/>
      <c r="Z30" s="167"/>
    </row>
    <row r="31" spans="2:26" s="151" customFormat="1">
      <c r="B31" s="169"/>
      <c r="C31" s="170"/>
      <c r="D31" s="171"/>
      <c r="E31" s="172"/>
      <c r="F31" s="173"/>
      <c r="G31" s="122"/>
      <c r="H31" s="123"/>
      <c r="I31" s="120"/>
      <c r="J31" s="121"/>
      <c r="K31" s="164"/>
      <c r="L31" s="123"/>
      <c r="M31" s="120"/>
      <c r="N31" s="121"/>
      <c r="O31" s="164"/>
      <c r="P31" s="123"/>
      <c r="Q31" s="120"/>
      <c r="R31" s="121"/>
      <c r="S31" s="164"/>
      <c r="T31" s="123"/>
      <c r="U31" s="120"/>
      <c r="V31" s="121"/>
      <c r="W31" s="164"/>
      <c r="X31" s="120"/>
      <c r="Y31" s="121"/>
      <c r="Z31" s="164"/>
    </row>
    <row r="32" spans="2:26" s="149" customFormat="1" ht="18.600000000000001" thickBot="1">
      <c r="B32" s="145"/>
      <c r="C32" s="161"/>
      <c r="D32" s="145"/>
      <c r="E32" s="144" t="s">
        <v>5</v>
      </c>
      <c r="F32" s="174"/>
      <c r="G32" s="146">
        <f>SUM(G13:G31)</f>
        <v>0</v>
      </c>
      <c r="H32" s="145"/>
      <c r="I32" s="147"/>
      <c r="J32" s="148">
        <f>SUM(J13:J31)</f>
        <v>0</v>
      </c>
      <c r="K32" s="145"/>
      <c r="L32" s="145"/>
      <c r="M32" s="147"/>
      <c r="N32" s="148">
        <f>SUM(N13:N31)</f>
        <v>0</v>
      </c>
      <c r="R32" s="150">
        <f>SUM(R13:R31)</f>
        <v>0</v>
      </c>
      <c r="V32" s="150">
        <f>SUM(V13:V31)</f>
        <v>0</v>
      </c>
      <c r="Y32" s="150">
        <f>SUM(Y13:Y31)</f>
        <v>0</v>
      </c>
    </row>
    <row r="33" spans="1:25" s="151" customFormat="1" ht="14.4" thickTop="1">
      <c r="B33" s="5"/>
      <c r="C33" s="6"/>
      <c r="D33" s="5"/>
      <c r="E33" s="7"/>
      <c r="F33" s="175"/>
      <c r="G33" s="5"/>
      <c r="H33" s="5"/>
      <c r="I33" s="5"/>
      <c r="J33" s="52"/>
      <c r="K33" s="5"/>
    </row>
    <row r="34" spans="1:25" s="151" customFormat="1" ht="14.4">
      <c r="A34" s="152"/>
      <c r="B34" s="152"/>
      <c r="C34" s="152"/>
      <c r="D34" s="152"/>
      <c r="E34" s="152"/>
      <c r="F34" s="176"/>
      <c r="G34" s="152"/>
      <c r="H34" s="154" t="s">
        <v>220</v>
      </c>
      <c r="I34" s="154"/>
      <c r="J34" s="155">
        <f>J32-G32</f>
        <v>0</v>
      </c>
      <c r="K34" s="154"/>
      <c r="L34" s="154" t="s">
        <v>222</v>
      </c>
      <c r="M34" s="154"/>
      <c r="N34" s="155">
        <f>N32-J32</f>
        <v>0</v>
      </c>
      <c r="O34" s="154"/>
      <c r="P34" s="154" t="s">
        <v>224</v>
      </c>
      <c r="Q34" s="154"/>
      <c r="R34" s="155">
        <f>R32-N32</f>
        <v>0</v>
      </c>
      <c r="S34" s="154"/>
      <c r="T34" s="154" t="s">
        <v>226</v>
      </c>
      <c r="U34" s="154"/>
      <c r="V34" s="155">
        <f>V32-R32</f>
        <v>0</v>
      </c>
      <c r="W34" s="154"/>
      <c r="X34" s="154" t="s">
        <v>228</v>
      </c>
      <c r="Y34" s="155">
        <f>Y32-G32</f>
        <v>0</v>
      </c>
    </row>
    <row r="35" spans="1:25" s="158" customFormat="1" ht="18">
      <c r="A35" s="162"/>
      <c r="B35" s="162"/>
      <c r="C35" s="156"/>
      <c r="D35" s="156"/>
      <c r="E35" s="156"/>
      <c r="F35" s="156"/>
      <c r="G35" s="177"/>
      <c r="H35" s="154" t="s">
        <v>221</v>
      </c>
      <c r="I35" s="154"/>
      <c r="J35" s="157" t="e">
        <f>J34/G32</f>
        <v>#DIV/0!</v>
      </c>
      <c r="K35" s="154"/>
      <c r="L35" s="154" t="s">
        <v>223</v>
      </c>
      <c r="M35" s="154"/>
      <c r="N35" s="157" t="e">
        <f>N34/J32</f>
        <v>#DIV/0!</v>
      </c>
      <c r="O35" s="154"/>
      <c r="P35" s="154" t="s">
        <v>225</v>
      </c>
      <c r="Q35" s="154"/>
      <c r="R35" s="157" t="e">
        <f>R34/N32</f>
        <v>#DIV/0!</v>
      </c>
      <c r="S35" s="154"/>
      <c r="T35" s="154" t="s">
        <v>227</v>
      </c>
      <c r="U35" s="154"/>
      <c r="V35" s="157" t="e">
        <f>V34/R32</f>
        <v>#DIV/0!</v>
      </c>
      <c r="W35" s="154"/>
      <c r="X35" s="154" t="s">
        <v>229</v>
      </c>
      <c r="Y35" s="157" t="e">
        <f>Y34/G32</f>
        <v>#DIV/0!</v>
      </c>
    </row>
    <row r="36" spans="1:25" s="158" customFormat="1" ht="18">
      <c r="A36" s="151"/>
      <c r="B36" s="151"/>
      <c r="C36" s="151"/>
      <c r="D36" s="151"/>
      <c r="E36" s="151"/>
      <c r="F36" s="199"/>
      <c r="G36" s="151"/>
      <c r="H36" s="151"/>
      <c r="I36" s="151"/>
    </row>
    <row r="37" spans="1:25" ht="18">
      <c r="A37" s="10"/>
      <c r="B37" s="10"/>
      <c r="C37" s="11"/>
      <c r="D37" s="11"/>
      <c r="E37" s="11"/>
      <c r="F37" s="22"/>
      <c r="G37" s="12"/>
      <c r="H37" s="10"/>
      <c r="I37" s="10"/>
    </row>
    <row r="38" spans="1:25" ht="18">
      <c r="A38" s="10"/>
      <c r="B38" s="10"/>
      <c r="C38" s="11"/>
      <c r="D38" s="1188"/>
      <c r="E38" s="1188"/>
      <c r="F38" s="1188"/>
      <c r="G38" s="12"/>
      <c r="H38" s="10"/>
      <c r="I38" s="10"/>
    </row>
    <row r="39" spans="1:25" ht="18">
      <c r="A39" s="10"/>
      <c r="B39" s="10"/>
      <c r="C39" s="11"/>
      <c r="D39" s="1188"/>
      <c r="E39" s="1188"/>
      <c r="F39" s="1188"/>
      <c r="G39" s="12"/>
      <c r="H39" s="10"/>
      <c r="I39" s="10"/>
    </row>
  </sheetData>
  <sheetProtection algorithmName="SHA-512" hashValue="4pitpeMXwR+qR0ep05FsCBT+63SuCsysOEtO6CnOpNwCxLUYAifgK0LgjY0tyEKbQ0eIDdY5buP5whtCMvEfmw==" saltValue="k+1GP7Slwlp/FEjz0cX0Dg==" spinCount="100000" sheet="1" objects="1" scenarios="1" formatCells="0" formatColumns="0" formatRows="0" insertHyperlinks="0" sort="0" autoFilter="0" pivotTables="0"/>
  <autoFilter ref="B12:Z12" xr:uid="{00000000-0009-0000-0000-000010000000}"/>
  <mergeCells count="17">
    <mergeCell ref="D39:F39"/>
    <mergeCell ref="F6:G6"/>
    <mergeCell ref="F8:G8"/>
    <mergeCell ref="F9:G9"/>
    <mergeCell ref="B11:G11"/>
    <mergeCell ref="H11:Z11"/>
    <mergeCell ref="D38:F38"/>
    <mergeCell ref="B2:G2"/>
    <mergeCell ref="H2:Z2"/>
    <mergeCell ref="D3:E3"/>
    <mergeCell ref="F3:G3"/>
    <mergeCell ref="H3:Z10"/>
    <mergeCell ref="D4:E4"/>
    <mergeCell ref="F4:G4"/>
    <mergeCell ref="D5:E5"/>
    <mergeCell ref="F5:G5"/>
    <mergeCell ref="D6:E6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6">
    <tabColor rgb="FF00B0F0"/>
  </sheetPr>
  <dimension ref="A1:AB34"/>
  <sheetViews>
    <sheetView showGridLines="0" zoomScale="80" zoomScaleNormal="80" workbookViewId="0">
      <selection activeCell="Y27" sqref="Y27"/>
    </sheetView>
  </sheetViews>
  <sheetFormatPr defaultColWidth="4.44140625" defaultRowHeight="13.8"/>
  <cols>
    <col min="1" max="1" width="4.88671875" style="20" customWidth="1"/>
    <col min="2" max="2" width="25.109375" style="20" customWidth="1"/>
    <col min="3" max="3" width="94.33203125" style="20" customWidth="1"/>
    <col min="4" max="4" width="17.33203125" style="20" customWidth="1"/>
    <col min="5" max="5" width="12.6640625" style="20" customWidth="1"/>
    <col min="6" max="6" width="18.77734375" style="20" customWidth="1"/>
    <col min="7" max="7" width="22.77734375" style="20" customWidth="1"/>
    <col min="8" max="8" width="16" style="20" customWidth="1"/>
    <col min="9" max="9" width="18.77734375" style="20" customWidth="1"/>
    <col min="10" max="10" width="22.77734375" style="20" customWidth="1"/>
    <col min="11" max="11" width="20.77734375" style="20" customWidth="1"/>
    <col min="12" max="12" width="16" style="20" customWidth="1"/>
    <col min="13" max="13" width="18.77734375" style="20" customWidth="1"/>
    <col min="14" max="14" width="22.77734375" style="20" customWidth="1"/>
    <col min="15" max="15" width="20.77734375" style="20" customWidth="1"/>
    <col min="16" max="16" width="16" style="20" customWidth="1"/>
    <col min="17" max="17" width="18.77734375" style="20" customWidth="1"/>
    <col min="18" max="18" width="22.77734375" style="20" customWidth="1"/>
    <col min="19" max="19" width="20.77734375" style="20" customWidth="1"/>
    <col min="20" max="20" width="16" style="20" customWidth="1"/>
    <col min="21" max="21" width="18.77734375" style="20" customWidth="1"/>
    <col min="22" max="22" width="22.77734375" style="20" customWidth="1"/>
    <col min="23" max="23" width="20.77734375" style="20" customWidth="1"/>
    <col min="24" max="24" width="18.77734375" style="20" customWidth="1"/>
    <col min="25" max="25" width="22.77734375" style="20" customWidth="1"/>
    <col min="26" max="26" width="20.77734375" style="20" customWidth="1"/>
    <col min="27" max="16384" width="4.44140625" style="20"/>
  </cols>
  <sheetData>
    <row r="1" spans="1:26" ht="16.2" thickBot="1">
      <c r="A1" s="25" t="s">
        <v>117</v>
      </c>
      <c r="B1" s="26" t="str">
        <f>'Master BOQ Pricing_2018-01-08'!B1</f>
        <v>To Be viewed in conjunction with BOS_000-MS-BO-010 Rev 5</v>
      </c>
      <c r="C1" s="27"/>
      <c r="D1" s="27"/>
      <c r="E1" s="27"/>
      <c r="F1" s="27"/>
      <c r="G1" s="27"/>
      <c r="H1" s="27"/>
    </row>
    <row r="2" spans="1:26" ht="21" thickBot="1">
      <c r="A2" s="27"/>
      <c r="B2" s="1206" t="str">
        <f>'Infra Build BOQ'!B2:I2</f>
        <v>77K0057591  /  77K0057591</v>
      </c>
      <c r="C2" s="1207"/>
      <c r="D2" s="1207"/>
      <c r="E2" s="1207"/>
      <c r="F2" s="110"/>
      <c r="G2" s="111"/>
      <c r="H2" s="1098"/>
      <c r="I2" s="1099"/>
      <c r="J2" s="1099"/>
      <c r="K2" s="1099"/>
      <c r="L2" s="1099"/>
      <c r="M2" s="1099"/>
      <c r="N2" s="1099"/>
      <c r="O2" s="1099"/>
      <c r="P2" s="1099"/>
      <c r="Q2" s="1099"/>
      <c r="R2" s="1099"/>
      <c r="S2" s="1099"/>
      <c r="T2" s="1099"/>
      <c r="U2" s="1099"/>
      <c r="V2" s="1099"/>
      <c r="W2" s="1099"/>
      <c r="X2" s="1099"/>
      <c r="Y2" s="1099"/>
      <c r="Z2" s="1100"/>
    </row>
    <row r="3" spans="1:26" ht="15.6">
      <c r="A3" s="27"/>
      <c r="B3" s="88" t="s">
        <v>1</v>
      </c>
      <c r="C3" s="178" t="str">
        <f>CONCATENATE('EXE Dashboard'!C4,"  /  ",'EXE Dashboard'!C5)</f>
        <v>77K0057591  /  77K0057591</v>
      </c>
      <c r="D3" s="1142" t="s">
        <v>362</v>
      </c>
      <c r="E3" s="1191"/>
      <c r="F3" s="1198">
        <f>'Infra Build BOQ'!F3</f>
        <v>0</v>
      </c>
      <c r="G3" s="1199"/>
      <c r="H3" s="1193" t="s">
        <v>279</v>
      </c>
      <c r="I3" s="1102"/>
      <c r="J3" s="1102"/>
      <c r="K3" s="1102"/>
      <c r="L3" s="1102"/>
      <c r="M3" s="1102"/>
      <c r="N3" s="1102"/>
      <c r="O3" s="1102"/>
      <c r="P3" s="1102"/>
      <c r="Q3" s="1102"/>
      <c r="R3" s="1102"/>
      <c r="S3" s="1102"/>
      <c r="T3" s="1102"/>
      <c r="U3" s="1102"/>
      <c r="V3" s="1102"/>
      <c r="W3" s="1102"/>
      <c r="X3" s="1102"/>
      <c r="Y3" s="1102"/>
      <c r="Z3" s="1103"/>
    </row>
    <row r="4" spans="1:26" ht="16.5" customHeight="1">
      <c r="A4" s="27"/>
      <c r="B4" s="89" t="s">
        <v>0</v>
      </c>
      <c r="C4" s="449" t="str">
        <f>'Infra Build BOQ'!C4</f>
        <v xml:space="preserve">Eletronic Communications Network (Pty) Ltd </v>
      </c>
      <c r="D4" s="1144" t="s">
        <v>2</v>
      </c>
      <c r="E4" s="1192"/>
      <c r="F4" s="1200" t="str">
        <f>'Infra Build BOQ'!F4</f>
        <v>Ethekwini</v>
      </c>
      <c r="G4" s="1201"/>
      <c r="H4" s="1194"/>
      <c r="I4" s="1104"/>
      <c r="J4" s="1104"/>
      <c r="K4" s="1104"/>
      <c r="L4" s="1104"/>
      <c r="M4" s="1104"/>
      <c r="N4" s="1104"/>
      <c r="O4" s="1104"/>
      <c r="P4" s="1104"/>
      <c r="Q4" s="1104"/>
      <c r="R4" s="1104"/>
      <c r="S4" s="1104"/>
      <c r="T4" s="1104"/>
      <c r="U4" s="1104"/>
      <c r="V4" s="1104"/>
      <c r="W4" s="1104"/>
      <c r="X4" s="1104"/>
      <c r="Y4" s="1104"/>
      <c r="Z4" s="1105"/>
    </row>
    <row r="5" spans="1:26" ht="16.5" customHeight="1">
      <c r="A5" s="27"/>
      <c r="B5" s="90" t="s">
        <v>437</v>
      </c>
      <c r="C5" s="449">
        <f>'MATERIAL REQUEST'!C4</f>
        <v>0</v>
      </c>
      <c r="D5" s="1144" t="s">
        <v>3</v>
      </c>
      <c r="E5" s="1192"/>
      <c r="F5" s="1202" t="str">
        <f>'Infra Build BOQ'!F5</f>
        <v>Date: 2023/08/25</v>
      </c>
      <c r="G5" s="1203"/>
      <c r="H5" s="1194"/>
      <c r="I5" s="1104"/>
      <c r="J5" s="1104"/>
      <c r="K5" s="1104"/>
      <c r="L5" s="1104"/>
      <c r="M5" s="1104"/>
      <c r="N5" s="1104"/>
      <c r="O5" s="1104"/>
      <c r="P5" s="1104"/>
      <c r="Q5" s="1104"/>
      <c r="R5" s="1104"/>
      <c r="S5" s="1104"/>
      <c r="T5" s="1104"/>
      <c r="U5" s="1104"/>
      <c r="V5" s="1104"/>
      <c r="W5" s="1104"/>
      <c r="X5" s="1104"/>
      <c r="Y5" s="1104"/>
      <c r="Z5" s="1105"/>
    </row>
    <row r="6" spans="1:26" ht="33" customHeight="1" thickBot="1">
      <c r="A6" s="27"/>
      <c r="B6" s="90" t="s">
        <v>230</v>
      </c>
      <c r="C6" s="450" t="s">
        <v>465</v>
      </c>
      <c r="D6" s="1144" t="s">
        <v>361</v>
      </c>
      <c r="E6" s="1192"/>
      <c r="F6" s="1204" t="str">
        <f>'Infra Build BOQ'!F6</f>
        <v>Phoenix Industrial Access PoP - ECN - Roots Dube Village</v>
      </c>
      <c r="G6" s="1205"/>
      <c r="H6" s="1194"/>
      <c r="I6" s="1104"/>
      <c r="J6" s="1104"/>
      <c r="K6" s="1104"/>
      <c r="L6" s="1104"/>
      <c r="M6" s="1104"/>
      <c r="N6" s="1104"/>
      <c r="O6" s="1104"/>
      <c r="P6" s="1104"/>
      <c r="Q6" s="1104"/>
      <c r="R6" s="1104"/>
      <c r="S6" s="1104"/>
      <c r="T6" s="1104"/>
      <c r="U6" s="1104"/>
      <c r="V6" s="1104"/>
      <c r="W6" s="1104"/>
      <c r="X6" s="1104"/>
      <c r="Y6" s="1104"/>
      <c r="Z6" s="1105"/>
    </row>
    <row r="7" spans="1:26" ht="17.25" customHeight="1" thickBot="1">
      <c r="A7" s="27"/>
      <c r="B7" s="128" t="s">
        <v>118</v>
      </c>
      <c r="C7" s="129"/>
      <c r="D7" s="130"/>
      <c r="E7" s="130"/>
      <c r="F7" s="100"/>
      <c r="G7" s="77"/>
      <c r="H7" s="1194"/>
      <c r="I7" s="1104"/>
      <c r="J7" s="1104"/>
      <c r="K7" s="1104"/>
      <c r="L7" s="1104"/>
      <c r="M7" s="1104"/>
      <c r="N7" s="1104"/>
      <c r="O7" s="1104"/>
      <c r="P7" s="1104"/>
      <c r="Q7" s="1104"/>
      <c r="R7" s="1104"/>
      <c r="S7" s="1104"/>
      <c r="T7" s="1104"/>
      <c r="U7" s="1104"/>
      <c r="V7" s="1104"/>
      <c r="W7" s="1104"/>
      <c r="X7" s="1104"/>
      <c r="Y7" s="1104"/>
      <c r="Z7" s="1105"/>
    </row>
    <row r="8" spans="1:26" ht="17.25" customHeight="1" thickBot="1">
      <c r="A8" s="27"/>
      <c r="B8" s="128"/>
      <c r="C8" s="129"/>
      <c r="D8" s="130"/>
      <c r="E8" s="130"/>
      <c r="F8" s="75"/>
      <c r="G8" s="75"/>
      <c r="H8" s="1194"/>
      <c r="I8" s="1104"/>
      <c r="J8" s="1104"/>
      <c r="K8" s="1104"/>
      <c r="L8" s="1104"/>
      <c r="M8" s="1104"/>
      <c r="N8" s="1104"/>
      <c r="O8" s="1104"/>
      <c r="P8" s="1104"/>
      <c r="Q8" s="1104"/>
      <c r="R8" s="1104"/>
      <c r="S8" s="1104"/>
      <c r="T8" s="1104"/>
      <c r="U8" s="1104"/>
      <c r="V8" s="1104"/>
      <c r="W8" s="1104"/>
      <c r="X8" s="1104"/>
      <c r="Y8" s="1104"/>
      <c r="Z8" s="1105"/>
    </row>
    <row r="9" spans="1:26" ht="17.25" customHeight="1" thickBot="1">
      <c r="A9" s="27"/>
      <c r="B9" s="128"/>
      <c r="C9" s="129"/>
      <c r="D9" s="130"/>
      <c r="E9" s="130"/>
      <c r="F9" s="75"/>
      <c r="G9" s="75"/>
      <c r="H9" s="1194"/>
      <c r="I9" s="1104"/>
      <c r="J9" s="1104"/>
      <c r="K9" s="1104"/>
      <c r="L9" s="1104"/>
      <c r="M9" s="1104"/>
      <c r="N9" s="1104"/>
      <c r="O9" s="1104"/>
      <c r="P9" s="1104"/>
      <c r="Q9" s="1104"/>
      <c r="R9" s="1104"/>
      <c r="S9" s="1104"/>
      <c r="T9" s="1104"/>
      <c r="U9" s="1104"/>
      <c r="V9" s="1104"/>
      <c r="W9" s="1104"/>
      <c r="X9" s="1104"/>
      <c r="Y9" s="1104"/>
      <c r="Z9" s="1105"/>
    </row>
    <row r="10" spans="1:26" ht="17.25" customHeight="1" thickBot="1">
      <c r="A10" s="27"/>
      <c r="B10" s="128"/>
      <c r="C10" s="133"/>
      <c r="D10" s="130"/>
      <c r="E10" s="130"/>
      <c r="F10" s="75"/>
      <c r="G10" s="75"/>
      <c r="H10" s="1195"/>
      <c r="I10" s="1107"/>
      <c r="J10" s="1107"/>
      <c r="K10" s="1107"/>
      <c r="L10" s="1107"/>
      <c r="M10" s="1107"/>
      <c r="N10" s="1107"/>
      <c r="O10" s="1107"/>
      <c r="P10" s="1107"/>
      <c r="Q10" s="1107"/>
      <c r="R10" s="1107"/>
      <c r="S10" s="1107"/>
      <c r="T10" s="1107"/>
      <c r="U10" s="1107"/>
      <c r="V10" s="1107"/>
      <c r="W10" s="1107"/>
      <c r="X10" s="1107"/>
      <c r="Y10" s="1107"/>
      <c r="Z10" s="1108"/>
    </row>
    <row r="11" spans="1:26" ht="18.600000000000001" thickBot="1">
      <c r="A11" s="27"/>
      <c r="B11" s="1189" t="s">
        <v>280</v>
      </c>
      <c r="C11" s="1190"/>
      <c r="D11" s="1190"/>
      <c r="E11" s="1190"/>
      <c r="F11" s="93"/>
      <c r="G11" s="93"/>
      <c r="H11" s="1078"/>
      <c r="I11" s="1079"/>
      <c r="J11" s="1079"/>
      <c r="K11" s="1079"/>
      <c r="L11" s="1079"/>
      <c r="M11" s="1079"/>
      <c r="N11" s="1079"/>
      <c r="O11" s="1079"/>
      <c r="P11" s="1079"/>
      <c r="Q11" s="1079"/>
      <c r="R11" s="1079"/>
      <c r="S11" s="1079"/>
      <c r="T11" s="1079"/>
      <c r="U11" s="1079"/>
      <c r="V11" s="1079"/>
      <c r="W11" s="1079"/>
      <c r="X11" s="1079"/>
      <c r="Y11" s="1079"/>
      <c r="Z11" s="1101"/>
    </row>
    <row r="12" spans="1:26" ht="29.4" thickBot="1">
      <c r="B12" s="251" t="s">
        <v>63</v>
      </c>
      <c r="C12" s="252" t="s">
        <v>4</v>
      </c>
      <c r="D12" s="251" t="s">
        <v>30</v>
      </c>
      <c r="E12" s="253" t="s">
        <v>64</v>
      </c>
      <c r="F12" s="76" t="s">
        <v>427</v>
      </c>
      <c r="G12" s="53" t="s">
        <v>271</v>
      </c>
      <c r="H12" s="60" t="s">
        <v>214</v>
      </c>
      <c r="I12" s="61" t="s">
        <v>211</v>
      </c>
      <c r="J12" s="62" t="s">
        <v>65</v>
      </c>
      <c r="K12" s="63" t="s">
        <v>212</v>
      </c>
      <c r="L12" s="57" t="s">
        <v>215</v>
      </c>
      <c r="M12" s="58" t="s">
        <v>211</v>
      </c>
      <c r="N12" s="59" t="s">
        <v>65</v>
      </c>
      <c r="O12" s="64" t="s">
        <v>212</v>
      </c>
      <c r="P12" s="65" t="s">
        <v>217</v>
      </c>
      <c r="Q12" s="66" t="s">
        <v>211</v>
      </c>
      <c r="R12" s="67" t="s">
        <v>65</v>
      </c>
      <c r="S12" s="68" t="s">
        <v>212</v>
      </c>
      <c r="T12" s="54" t="s">
        <v>216</v>
      </c>
      <c r="U12" s="55" t="s">
        <v>211</v>
      </c>
      <c r="V12" s="56" t="s">
        <v>65</v>
      </c>
      <c r="W12" s="69" t="s">
        <v>212</v>
      </c>
      <c r="X12" s="70" t="s">
        <v>218</v>
      </c>
      <c r="Y12" s="71" t="s">
        <v>65</v>
      </c>
      <c r="Z12" s="72" t="s">
        <v>212</v>
      </c>
    </row>
    <row r="13" spans="1:26">
      <c r="B13" s="234">
        <f>'Master BOQ Pricing_2018-01-08'!B14</f>
        <v>1</v>
      </c>
      <c r="C13" s="79" t="str">
        <f>'Master BOQ Pricing_2018-01-08'!C14</f>
        <v>MATERIAL MANAGEMENT</v>
      </c>
      <c r="D13" s="82"/>
      <c r="E13" s="113"/>
      <c r="F13" s="104"/>
      <c r="G13" s="105"/>
      <c r="H13" s="102"/>
      <c r="I13" s="114"/>
      <c r="J13" s="115"/>
      <c r="K13" s="105"/>
      <c r="L13" s="102"/>
      <c r="M13" s="114"/>
      <c r="N13" s="115"/>
      <c r="O13" s="105"/>
      <c r="P13" s="102"/>
      <c r="Q13" s="114"/>
      <c r="R13" s="115"/>
      <c r="S13" s="105"/>
      <c r="T13" s="102"/>
      <c r="U13" s="114"/>
      <c r="V13" s="115"/>
      <c r="W13" s="105"/>
      <c r="X13" s="114"/>
      <c r="Y13" s="115"/>
      <c r="Z13" s="105"/>
    </row>
    <row r="14" spans="1:26" ht="14.4">
      <c r="B14" s="124">
        <f>'Master BOQ Pricing_2018-01-08'!B15</f>
        <v>1.1000000000000001</v>
      </c>
      <c r="C14" s="78" t="str">
        <f>'Master BOQ Pricing_2018-01-08'!C15</f>
        <v>Collect and delivery of material to Site (&gt;60km) Per Site</v>
      </c>
      <c r="D14" s="92" t="str">
        <f>'Master BOQ Pricing_2018-01-08'!D15</f>
        <v>Per Site</v>
      </c>
      <c r="E14" s="256">
        <f>'Master BOQ Pricing_2018-01-08'!E15</f>
        <v>850</v>
      </c>
      <c r="F14" s="108">
        <f>'Infra Build BOQ'!R15</f>
        <v>0</v>
      </c>
      <c r="G14" s="106">
        <f>E14*F14</f>
        <v>0</v>
      </c>
      <c r="H14" s="511"/>
      <c r="I14" s="142">
        <f>F14+H14</f>
        <v>0</v>
      </c>
      <c r="J14" s="143">
        <f>$E$14*I14</f>
        <v>0</v>
      </c>
      <c r="K14" s="598">
        <f>'Infra Build BOQ'!W15</f>
        <v>0</v>
      </c>
      <c r="L14" s="511"/>
      <c r="M14" s="142">
        <f>I14+L14</f>
        <v>0</v>
      </c>
      <c r="N14" s="143">
        <f>$E$14*M14</f>
        <v>0</v>
      </c>
      <c r="O14" s="598">
        <f>'Infra Build BOQ'!AA15</f>
        <v>0</v>
      </c>
      <c r="P14" s="511"/>
      <c r="Q14" s="142">
        <f>M14+P14</f>
        <v>0</v>
      </c>
      <c r="R14" s="143">
        <f>$E$14*Q14</f>
        <v>0</v>
      </c>
      <c r="S14" s="598">
        <f>'Infra Build BOQ'!AE15</f>
        <v>0</v>
      </c>
      <c r="T14" s="511"/>
      <c r="U14" s="142">
        <f>Q14+T14</f>
        <v>0</v>
      </c>
      <c r="V14" s="143">
        <f>$E$14*U14</f>
        <v>0</v>
      </c>
      <c r="W14" s="598">
        <f>'Infra Build BOQ'!AI15</f>
        <v>0</v>
      </c>
      <c r="X14" s="511"/>
      <c r="Y14" s="143">
        <f>$E$14*X14</f>
        <v>0</v>
      </c>
      <c r="Z14" s="598">
        <f>'Infra Build BOQ'!AL15</f>
        <v>0</v>
      </c>
    </row>
    <row r="15" spans="1:26" ht="27.6" customHeight="1">
      <c r="B15" s="234">
        <f>'Master BOQ Pricing_2018-01-08'!B169</f>
        <v>10</v>
      </c>
      <c r="C15" s="141" t="str">
        <f>'Master BOQ Pricing_2018-01-08'!C169</f>
        <v>FIBRE TERMINATION (JOINTING / SPLICE OF FIBRE IN MANHOLES  OPTIVAL DISTRIBUTION FRAMES AND PATCH PANELS)</v>
      </c>
      <c r="D15" s="84"/>
      <c r="E15" s="260"/>
      <c r="F15" s="127"/>
      <c r="G15" s="122"/>
      <c r="H15" s="123"/>
      <c r="I15" s="120"/>
      <c r="J15" s="121"/>
      <c r="K15" s="601"/>
      <c r="L15" s="123"/>
      <c r="M15" s="120"/>
      <c r="N15" s="121"/>
      <c r="O15" s="601"/>
      <c r="P15" s="123"/>
      <c r="Q15" s="120"/>
      <c r="R15" s="121"/>
      <c r="S15" s="601"/>
      <c r="T15" s="123"/>
      <c r="U15" s="120"/>
      <c r="V15" s="121"/>
      <c r="W15" s="601"/>
      <c r="X15" s="120"/>
      <c r="Y15" s="121"/>
      <c r="Z15" s="601"/>
    </row>
    <row r="16" spans="1:26">
      <c r="B16" s="118">
        <f>'Master BOQ Pricing_2018-01-08'!B170</f>
        <v>10.01</v>
      </c>
      <c r="C16" s="78" t="str">
        <f>'Master BOQ Pricing_2018-01-08'!C170</f>
        <v>Supply and Label ODF and Cables</v>
      </c>
      <c r="D16" s="92" t="str">
        <f>'Master BOQ Pricing_2018-01-08'!D170</f>
        <v>ea</v>
      </c>
      <c r="E16" s="256">
        <f>'Master BOQ Pricing_2018-01-08'!E170</f>
        <v>90.91</v>
      </c>
      <c r="F16" s="103"/>
      <c r="G16" s="107"/>
      <c r="H16" s="103"/>
      <c r="I16" s="135"/>
      <c r="J16" s="136"/>
      <c r="K16" s="602"/>
      <c r="L16" s="103"/>
      <c r="M16" s="135"/>
      <c r="N16" s="136"/>
      <c r="O16" s="602"/>
      <c r="P16" s="103"/>
      <c r="Q16" s="135"/>
      <c r="R16" s="136"/>
      <c r="S16" s="602"/>
      <c r="T16" s="103"/>
      <c r="U16" s="135"/>
      <c r="V16" s="136"/>
      <c r="W16" s="602"/>
      <c r="X16" s="135"/>
      <c r="Y16" s="136"/>
      <c r="Z16" s="602"/>
    </row>
    <row r="17" spans="1:28">
      <c r="B17" s="118">
        <f>'Master BOQ Pricing_2018-01-08'!B171</f>
        <v>10.02</v>
      </c>
      <c r="C17" s="78" t="str">
        <f>'Master BOQ Pricing_2018-01-08'!C171</f>
        <v>Prepare and splice single fibre in existing patch panel  joint or ODF (per splice)</v>
      </c>
      <c r="D17" s="92" t="str">
        <f>'Master BOQ Pricing_2018-01-08'!D171</f>
        <v>ea</v>
      </c>
      <c r="E17" s="256">
        <f>'Master BOQ Pricing_2018-01-08'!E171</f>
        <v>85</v>
      </c>
      <c r="F17" s="108">
        <f>'Infra Build BOQ'!R171</f>
        <v>2</v>
      </c>
      <c r="G17" s="106">
        <f>'Infra Build BOQ'!S171</f>
        <v>170</v>
      </c>
      <c r="H17" s="91">
        <f>'Infra Build BOQ'!T171</f>
        <v>0</v>
      </c>
      <c r="I17" s="101">
        <f>'Infra Build BOQ'!U171</f>
        <v>2</v>
      </c>
      <c r="J17" s="117">
        <f>'Infra Build BOQ'!V171</f>
        <v>170</v>
      </c>
      <c r="K17" s="599">
        <f>'Infra Build BOQ'!W171</f>
        <v>0</v>
      </c>
      <c r="L17" s="91">
        <f>'Infra Build BOQ'!X171</f>
        <v>0</v>
      </c>
      <c r="M17" s="101">
        <f>'Infra Build BOQ'!Y171</f>
        <v>2</v>
      </c>
      <c r="N17" s="117">
        <f>'Infra Build BOQ'!Z171</f>
        <v>170</v>
      </c>
      <c r="O17" s="599">
        <f>'Infra Build BOQ'!AA171</f>
        <v>0</v>
      </c>
      <c r="P17" s="91">
        <f>'Infra Build BOQ'!AB171</f>
        <v>0</v>
      </c>
      <c r="Q17" s="101">
        <f>'Infra Build BOQ'!AC171</f>
        <v>2</v>
      </c>
      <c r="R17" s="117">
        <f>'Infra Build BOQ'!AD171</f>
        <v>170</v>
      </c>
      <c r="S17" s="599">
        <f>'Infra Build BOQ'!AE171</f>
        <v>0</v>
      </c>
      <c r="T17" s="91">
        <f>'Infra Build BOQ'!AF171</f>
        <v>0</v>
      </c>
      <c r="U17" s="101">
        <f>'Infra Build BOQ'!AG171</f>
        <v>2</v>
      </c>
      <c r="V17" s="117">
        <f>'Infra Build BOQ'!AH171</f>
        <v>170</v>
      </c>
      <c r="W17" s="599">
        <f>'Infra Build BOQ'!AI171</f>
        <v>0</v>
      </c>
      <c r="X17" s="101">
        <f>'Infra Build BOQ'!AJ171</f>
        <v>0</v>
      </c>
      <c r="Y17" s="117">
        <f>'Infra Build BOQ'!AK171</f>
        <v>0</v>
      </c>
      <c r="Z17" s="599">
        <f>'Infra Build BOQ'!AL171</f>
        <v>0</v>
      </c>
    </row>
    <row r="18" spans="1:28">
      <c r="B18" s="118">
        <f>'Master BOQ Pricing_2018-01-08'!B172</f>
        <v>10.029999999999999</v>
      </c>
      <c r="C18" s="78" t="str">
        <f>'Master BOQ Pricing_2018-01-08'!C172</f>
        <v>Prepare cable ends and joint for splicing (Loop only)</v>
      </c>
      <c r="D18" s="92" t="str">
        <f>'Master BOQ Pricing_2018-01-08'!D172</f>
        <v>ea</v>
      </c>
      <c r="E18" s="256">
        <f>'Master BOQ Pricing_2018-01-08'!E172</f>
        <v>400</v>
      </c>
      <c r="F18" s="108">
        <f>'Infra Build BOQ'!R172</f>
        <v>0</v>
      </c>
      <c r="G18" s="106">
        <f>'Infra Build BOQ'!S172</f>
        <v>0</v>
      </c>
      <c r="H18" s="91">
        <f>'Infra Build BOQ'!T172</f>
        <v>0</v>
      </c>
      <c r="I18" s="101">
        <f>'Infra Build BOQ'!U172</f>
        <v>0</v>
      </c>
      <c r="J18" s="117">
        <f>'Infra Build BOQ'!V172</f>
        <v>0</v>
      </c>
      <c r="K18" s="599">
        <f>'Infra Build BOQ'!W172</f>
        <v>0</v>
      </c>
      <c r="L18" s="91">
        <f>'Infra Build BOQ'!X172</f>
        <v>0</v>
      </c>
      <c r="M18" s="101">
        <f>'Infra Build BOQ'!Y172</f>
        <v>0</v>
      </c>
      <c r="N18" s="117">
        <f>'Infra Build BOQ'!Z172</f>
        <v>0</v>
      </c>
      <c r="O18" s="599">
        <f>'Infra Build BOQ'!AA172</f>
        <v>0</v>
      </c>
      <c r="P18" s="91">
        <f>'Infra Build BOQ'!AB172</f>
        <v>0</v>
      </c>
      <c r="Q18" s="101">
        <f>'Infra Build BOQ'!AC172</f>
        <v>0</v>
      </c>
      <c r="R18" s="117">
        <f>'Infra Build BOQ'!AD172</f>
        <v>0</v>
      </c>
      <c r="S18" s="599">
        <f>'Infra Build BOQ'!AE172</f>
        <v>0</v>
      </c>
      <c r="T18" s="91">
        <f>'Infra Build BOQ'!AF172</f>
        <v>0</v>
      </c>
      <c r="U18" s="101">
        <f>'Infra Build BOQ'!AG172</f>
        <v>0</v>
      </c>
      <c r="V18" s="117">
        <f>'Infra Build BOQ'!AH172</f>
        <v>0</v>
      </c>
      <c r="W18" s="599">
        <f>'Infra Build BOQ'!AI172</f>
        <v>0</v>
      </c>
      <c r="X18" s="101">
        <f>'Infra Build BOQ'!AJ172</f>
        <v>0</v>
      </c>
      <c r="Y18" s="117">
        <f>'Infra Build BOQ'!AK172</f>
        <v>0</v>
      </c>
      <c r="Z18" s="599">
        <f>'Infra Build BOQ'!AL172</f>
        <v>0</v>
      </c>
    </row>
    <row r="19" spans="1:28">
      <c r="B19" s="118">
        <f>'Master BOQ Pricing_2018-01-08'!B173</f>
        <v>10.039999999999999</v>
      </c>
      <c r="C19" s="78" t="str">
        <f>'Master BOQ Pricing_2018-01-08'!C173</f>
        <v>Prepare and Install Patch Panel/FMT including the preparation of splitters</v>
      </c>
      <c r="D19" s="92" t="str">
        <f>'Master BOQ Pricing_2018-01-08'!D173</f>
        <v>ea</v>
      </c>
      <c r="E19" s="256">
        <f>'Master BOQ Pricing_2018-01-08'!E173</f>
        <v>400</v>
      </c>
      <c r="F19" s="108">
        <f>'Infra Build BOQ'!R173</f>
        <v>0</v>
      </c>
      <c r="G19" s="106">
        <f>'Infra Build BOQ'!S173</f>
        <v>0</v>
      </c>
      <c r="H19" s="91">
        <f>'Infra Build BOQ'!T173</f>
        <v>0</v>
      </c>
      <c r="I19" s="101">
        <f>'Infra Build BOQ'!U173</f>
        <v>0</v>
      </c>
      <c r="J19" s="117">
        <f>'Infra Build BOQ'!V173</f>
        <v>0</v>
      </c>
      <c r="K19" s="599">
        <f>'Infra Build BOQ'!W173</f>
        <v>0</v>
      </c>
      <c r="L19" s="91">
        <f>'Infra Build BOQ'!X173</f>
        <v>0</v>
      </c>
      <c r="M19" s="101">
        <f>'Infra Build BOQ'!Y173</f>
        <v>0</v>
      </c>
      <c r="N19" s="117">
        <f>'Infra Build BOQ'!Z173</f>
        <v>0</v>
      </c>
      <c r="O19" s="599">
        <f>'Infra Build BOQ'!AA173</f>
        <v>0</v>
      </c>
      <c r="P19" s="91">
        <f>'Infra Build BOQ'!AB173</f>
        <v>0</v>
      </c>
      <c r="Q19" s="101">
        <f>'Infra Build BOQ'!AC173</f>
        <v>0</v>
      </c>
      <c r="R19" s="117">
        <f>'Infra Build BOQ'!AD173</f>
        <v>0</v>
      </c>
      <c r="S19" s="599">
        <f>'Infra Build BOQ'!AE173</f>
        <v>0</v>
      </c>
      <c r="T19" s="91">
        <f>'Infra Build BOQ'!AF173</f>
        <v>0</v>
      </c>
      <c r="U19" s="101">
        <f>'Infra Build BOQ'!AG173</f>
        <v>0</v>
      </c>
      <c r="V19" s="117">
        <f>'Infra Build BOQ'!AH173</f>
        <v>0</v>
      </c>
      <c r="W19" s="599">
        <f>'Infra Build BOQ'!AI173</f>
        <v>0</v>
      </c>
      <c r="X19" s="101">
        <f>'Infra Build BOQ'!AJ173</f>
        <v>0</v>
      </c>
      <c r="Y19" s="117">
        <f>'Infra Build BOQ'!AK173</f>
        <v>0</v>
      </c>
      <c r="Z19" s="599">
        <f>'Infra Build BOQ'!AL173</f>
        <v>0</v>
      </c>
    </row>
    <row r="20" spans="1:28" ht="27.6" customHeight="1">
      <c r="B20" s="234">
        <f>'Master BOQ Pricing_2018-01-08'!B174</f>
        <v>11</v>
      </c>
      <c r="C20" s="141" t="str">
        <f>'Master BOQ Pricing_2018-01-08'!C174</f>
        <v>FIBRE CABLE TEST PER STRAND AND ACCESSORIES</v>
      </c>
      <c r="D20" s="84"/>
      <c r="E20" s="260"/>
      <c r="F20" s="127"/>
      <c r="G20" s="122"/>
      <c r="H20" s="123"/>
      <c r="I20" s="120"/>
      <c r="J20" s="121"/>
      <c r="K20" s="601"/>
      <c r="L20" s="123"/>
      <c r="M20" s="120"/>
      <c r="N20" s="121"/>
      <c r="O20" s="601"/>
      <c r="P20" s="123"/>
      <c r="Q20" s="120"/>
      <c r="R20" s="121"/>
      <c r="S20" s="601"/>
      <c r="T20" s="123"/>
      <c r="U20" s="120"/>
      <c r="V20" s="121"/>
      <c r="W20" s="601"/>
      <c r="X20" s="120"/>
      <c r="Y20" s="121"/>
      <c r="Z20" s="601"/>
    </row>
    <row r="21" spans="1:28">
      <c r="B21" s="118">
        <f>'Master BOQ Pricing_2018-01-08'!B177</f>
        <v>11.03</v>
      </c>
      <c r="C21" s="78" t="str">
        <f>'Master BOQ Pricing_2018-01-08'!C177</f>
        <v>Relay section test bi-directional OTDR including report</v>
      </c>
      <c r="D21" s="92" t="str">
        <f>'Master BOQ Pricing_2018-01-08'!D177</f>
        <v>ea</v>
      </c>
      <c r="E21" s="256">
        <f>'Master BOQ Pricing_2018-01-08'!E177</f>
        <v>25</v>
      </c>
      <c r="F21" s="108">
        <f>'Infra Build BOQ'!R177</f>
        <v>1</v>
      </c>
      <c r="G21" s="106">
        <f>'Infra Build BOQ'!S177</f>
        <v>25</v>
      </c>
      <c r="H21" s="91">
        <f>'Infra Build BOQ'!T177</f>
        <v>0</v>
      </c>
      <c r="I21" s="101">
        <f>'Infra Build BOQ'!U177</f>
        <v>1</v>
      </c>
      <c r="J21" s="117">
        <f>'Infra Build BOQ'!V177</f>
        <v>25</v>
      </c>
      <c r="K21" s="603">
        <f>'Infra Build BOQ'!W177</f>
        <v>0</v>
      </c>
      <c r="L21" s="91">
        <f>'Infra Build BOQ'!X177</f>
        <v>0</v>
      </c>
      <c r="M21" s="101">
        <f>'Infra Build BOQ'!Y177</f>
        <v>1</v>
      </c>
      <c r="N21" s="117">
        <f>'Infra Build BOQ'!Z177</f>
        <v>25</v>
      </c>
      <c r="O21" s="600">
        <f>'Infra Build BOQ'!AA177</f>
        <v>0</v>
      </c>
      <c r="P21" s="91">
        <f>'Infra Build BOQ'!AB177</f>
        <v>0</v>
      </c>
      <c r="Q21" s="101">
        <f>'Infra Build BOQ'!AC177</f>
        <v>1</v>
      </c>
      <c r="R21" s="117">
        <f>'Infra Build BOQ'!AD177</f>
        <v>25</v>
      </c>
      <c r="S21" s="599">
        <f>'Infra Build BOQ'!AE177</f>
        <v>0</v>
      </c>
      <c r="T21" s="91">
        <f>'Infra Build BOQ'!AF177</f>
        <v>0</v>
      </c>
      <c r="U21" s="101">
        <f>'Infra Build BOQ'!AG177</f>
        <v>1</v>
      </c>
      <c r="V21" s="117">
        <f>'Infra Build BOQ'!AH177</f>
        <v>25</v>
      </c>
      <c r="W21" s="599">
        <f>'Infra Build BOQ'!AI177</f>
        <v>0</v>
      </c>
      <c r="X21" s="101">
        <f>'Infra Build BOQ'!AJ177</f>
        <v>0</v>
      </c>
      <c r="Y21" s="117">
        <f>'Infra Build BOQ'!AK177</f>
        <v>0</v>
      </c>
      <c r="Z21" s="599">
        <f>'Infra Build BOQ'!AL177</f>
        <v>0</v>
      </c>
    </row>
    <row r="22" spans="1:28">
      <c r="B22" s="118">
        <f>'Master BOQ Pricing_2018-01-08'!B178</f>
        <v>11.04</v>
      </c>
      <c r="C22" s="78" t="str">
        <f>'Master BOQ Pricing_2018-01-08'!C178</f>
        <v>Relay section test- Bi-directional Power And Light source testing and fibre verification including report</v>
      </c>
      <c r="D22" s="92" t="str">
        <f>'Master BOQ Pricing_2018-01-08'!D178</f>
        <v>ea</v>
      </c>
      <c r="E22" s="256">
        <f>'Master BOQ Pricing_2018-01-08'!E178</f>
        <v>20</v>
      </c>
      <c r="F22" s="108">
        <f>'Infra Build BOQ'!R178</f>
        <v>1</v>
      </c>
      <c r="G22" s="106">
        <f>'Infra Build BOQ'!S178</f>
        <v>20</v>
      </c>
      <c r="H22" s="91">
        <f>'Infra Build BOQ'!T178</f>
        <v>0</v>
      </c>
      <c r="I22" s="101">
        <f>'Infra Build BOQ'!U178</f>
        <v>1</v>
      </c>
      <c r="J22" s="117">
        <f>'Infra Build BOQ'!V178</f>
        <v>20</v>
      </c>
      <c r="K22" s="603">
        <f>'Infra Build BOQ'!W178</f>
        <v>0</v>
      </c>
      <c r="L22" s="91">
        <f>'Infra Build BOQ'!X178</f>
        <v>0</v>
      </c>
      <c r="M22" s="101">
        <f>'Infra Build BOQ'!Y178</f>
        <v>1</v>
      </c>
      <c r="N22" s="117">
        <f>'Infra Build BOQ'!Z178</f>
        <v>20</v>
      </c>
      <c r="O22" s="600">
        <f>'Infra Build BOQ'!AA178</f>
        <v>0</v>
      </c>
      <c r="P22" s="91">
        <f>'Infra Build BOQ'!AB178</f>
        <v>0</v>
      </c>
      <c r="Q22" s="101">
        <f>'Infra Build BOQ'!AC178</f>
        <v>1</v>
      </c>
      <c r="R22" s="117">
        <f>'Infra Build BOQ'!AD178</f>
        <v>20</v>
      </c>
      <c r="S22" s="599">
        <f>'Infra Build BOQ'!AE178</f>
        <v>0</v>
      </c>
      <c r="T22" s="91">
        <f>'Infra Build BOQ'!AF178</f>
        <v>0</v>
      </c>
      <c r="U22" s="101">
        <f>'Infra Build BOQ'!AG178</f>
        <v>1</v>
      </c>
      <c r="V22" s="117">
        <f>'Infra Build BOQ'!AH178</f>
        <v>20</v>
      </c>
      <c r="W22" s="599">
        <f>'Infra Build BOQ'!AI178</f>
        <v>0</v>
      </c>
      <c r="X22" s="101">
        <f>'Infra Build BOQ'!AJ178</f>
        <v>0</v>
      </c>
      <c r="Y22" s="117">
        <f>'Infra Build BOQ'!AK178</f>
        <v>0</v>
      </c>
      <c r="Z22" s="599">
        <f>'Infra Build BOQ'!AL178</f>
        <v>0</v>
      </c>
    </row>
    <row r="23" spans="1:28">
      <c r="B23" s="112"/>
      <c r="C23" s="80"/>
      <c r="D23" s="83"/>
      <c r="E23" s="119"/>
      <c r="F23" s="127"/>
      <c r="G23" s="122"/>
      <c r="H23" s="123"/>
      <c r="I23" s="120"/>
      <c r="J23" s="121"/>
      <c r="K23" s="122"/>
      <c r="L23" s="123"/>
      <c r="M23" s="120"/>
      <c r="N23" s="121"/>
      <c r="O23" s="122"/>
      <c r="P23" s="123"/>
      <c r="Q23" s="120"/>
      <c r="R23" s="121"/>
      <c r="S23" s="122"/>
      <c r="T23" s="123"/>
      <c r="U23" s="120"/>
      <c r="V23" s="121"/>
      <c r="W23" s="601"/>
      <c r="X23" s="120"/>
      <c r="Y23" s="121"/>
      <c r="Z23" s="122"/>
    </row>
    <row r="24" spans="1:28" s="16" customFormat="1" ht="18.600000000000001" thickBot="1">
      <c r="B24" s="17"/>
      <c r="C24" s="18"/>
      <c r="D24" s="17"/>
      <c r="E24" s="144" t="s">
        <v>5</v>
      </c>
      <c r="F24" s="145"/>
      <c r="G24" s="146">
        <f>SUM(G13:G23)</f>
        <v>215</v>
      </c>
      <c r="H24" s="145"/>
      <c r="I24" s="147"/>
      <c r="J24" s="148">
        <f>SUM(J13:J23)</f>
        <v>215</v>
      </c>
      <c r="K24" s="145"/>
      <c r="L24" s="145"/>
      <c r="M24" s="147"/>
      <c r="N24" s="148">
        <f>SUM(N13:N23)</f>
        <v>215</v>
      </c>
      <c r="O24" s="149"/>
      <c r="P24" s="149"/>
      <c r="Q24" s="149"/>
      <c r="R24" s="150">
        <f>SUM(R13:R23)</f>
        <v>215</v>
      </c>
      <c r="S24" s="149"/>
      <c r="T24" s="149"/>
      <c r="U24" s="149"/>
      <c r="V24" s="150">
        <f>SUM(V13:V23)</f>
        <v>215</v>
      </c>
      <c r="W24" s="149"/>
      <c r="X24" s="149"/>
      <c r="Y24" s="150">
        <f>SUM(Y13:Y23)</f>
        <v>0</v>
      </c>
      <c r="Z24" s="149"/>
      <c r="AA24" s="149"/>
      <c r="AB24" s="149"/>
    </row>
    <row r="25" spans="1:28" ht="14.4" thickTop="1">
      <c r="B25" s="5"/>
      <c r="C25" s="6"/>
      <c r="D25" s="5"/>
      <c r="E25" s="7"/>
      <c r="F25" s="5"/>
      <c r="G25" s="5"/>
      <c r="H25" s="5"/>
      <c r="I25" s="5"/>
      <c r="J25" s="52"/>
      <c r="K25" s="5"/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1"/>
      <c r="W25" s="151"/>
      <c r="X25" s="151"/>
      <c r="Y25" s="151"/>
      <c r="Z25" s="151"/>
      <c r="AA25" s="151"/>
      <c r="AB25" s="151"/>
    </row>
    <row r="26" spans="1:28" ht="14.4">
      <c r="A26" s="1"/>
      <c r="B26" s="1"/>
      <c r="C26" s="1"/>
      <c r="D26" s="1"/>
      <c r="E26" s="152"/>
      <c r="F26" s="153"/>
      <c r="G26" s="153"/>
      <c r="H26" s="154" t="s">
        <v>220</v>
      </c>
      <c r="I26" s="154"/>
      <c r="J26" s="155">
        <f>J24-G24</f>
        <v>0</v>
      </c>
      <c r="K26" s="154"/>
      <c r="L26" s="154" t="s">
        <v>222</v>
      </c>
      <c r="M26" s="154"/>
      <c r="N26" s="155">
        <f>N24-J24</f>
        <v>0</v>
      </c>
      <c r="O26" s="154"/>
      <c r="P26" s="154" t="s">
        <v>224</v>
      </c>
      <c r="Q26" s="154"/>
      <c r="R26" s="155">
        <f>R24-N24</f>
        <v>0</v>
      </c>
      <c r="S26" s="154"/>
      <c r="T26" s="154" t="s">
        <v>226</v>
      </c>
      <c r="U26" s="154"/>
      <c r="V26" s="155">
        <f>V24-R24</f>
        <v>0</v>
      </c>
      <c r="W26" s="154"/>
      <c r="X26" s="154" t="s">
        <v>228</v>
      </c>
      <c r="Y26" s="155">
        <f>Y24-G24</f>
        <v>-215</v>
      </c>
      <c r="Z26" s="151"/>
      <c r="AA26" s="151"/>
      <c r="AB26" s="151"/>
    </row>
    <row r="27" spans="1:28" s="10" customFormat="1" ht="18">
      <c r="A27" s="2"/>
      <c r="B27" s="2"/>
      <c r="C27" s="95"/>
      <c r="D27" s="95"/>
      <c r="E27" s="156"/>
      <c r="F27" s="151"/>
      <c r="G27" s="151"/>
      <c r="H27" s="154" t="s">
        <v>221</v>
      </c>
      <c r="I27" s="154"/>
      <c r="J27" s="157">
        <f>J26/G24</f>
        <v>0</v>
      </c>
      <c r="K27" s="154"/>
      <c r="L27" s="154" t="s">
        <v>223</v>
      </c>
      <c r="M27" s="154"/>
      <c r="N27" s="157">
        <f>N26/J24</f>
        <v>0</v>
      </c>
      <c r="O27" s="154"/>
      <c r="P27" s="154" t="s">
        <v>225</v>
      </c>
      <c r="Q27" s="154"/>
      <c r="R27" s="157">
        <f>R26/N24</f>
        <v>0</v>
      </c>
      <c r="S27" s="154"/>
      <c r="T27" s="154" t="s">
        <v>227</v>
      </c>
      <c r="U27" s="154"/>
      <c r="V27" s="157">
        <f>V26/R24</f>
        <v>0</v>
      </c>
      <c r="W27" s="154"/>
      <c r="X27" s="154" t="s">
        <v>229</v>
      </c>
      <c r="Y27" s="157">
        <f>Y26/G24</f>
        <v>-1</v>
      </c>
      <c r="Z27" s="158"/>
      <c r="AA27" s="158"/>
      <c r="AB27" s="158"/>
    </row>
    <row r="28" spans="1:28" s="10" customFormat="1" ht="18">
      <c r="A28" s="20"/>
      <c r="B28" s="20"/>
      <c r="C28" s="20"/>
      <c r="D28" s="20"/>
      <c r="E28" s="151"/>
      <c r="F28" s="151"/>
      <c r="G28" s="151"/>
      <c r="H28" s="151"/>
      <c r="I28" s="151"/>
      <c r="J28" s="158"/>
      <c r="K28" s="158"/>
      <c r="L28" s="158"/>
      <c r="M28" s="158"/>
      <c r="N28" s="158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</row>
    <row r="29" spans="1:28" ht="18">
      <c r="A29" s="10"/>
      <c r="B29" s="10"/>
      <c r="C29" s="11"/>
      <c r="D29" s="11"/>
      <c r="E29" s="11"/>
      <c r="H29" s="10"/>
      <c r="I29" s="10"/>
    </row>
    <row r="30" spans="1:28" ht="18">
      <c r="A30" s="10"/>
      <c r="B30" s="10"/>
      <c r="C30" s="11"/>
      <c r="D30" s="1188"/>
      <c r="E30" s="1188"/>
      <c r="H30" s="10"/>
      <c r="I30" s="10"/>
    </row>
    <row r="31" spans="1:28" ht="18">
      <c r="A31" s="10"/>
      <c r="B31" s="10"/>
      <c r="C31" s="11"/>
      <c r="D31" s="1188"/>
      <c r="E31" s="1188"/>
      <c r="H31" s="10"/>
      <c r="I31" s="10"/>
    </row>
    <row r="34" spans="3:3" ht="14.4">
      <c r="C34" s="137"/>
    </row>
  </sheetData>
  <sheetProtection algorithmName="SHA-512" hashValue="Ljpu0vvI1aUg0+fm/qjcqJBqfUUiEAtUBDflBIQWZ2AIXqHBSi36gASs+cwP702IIc0V7hdIOfZe4TdaB/HN6g==" saltValue="ClHGN4Pu2PqOYvIbv8gYbg==" spinCount="100000" sheet="1" objects="1" scenarios="1" formatCells="0" formatColumns="0" formatRows="0" insertHyperlinks="0" sort="0" autoFilter="0" pivotTables="0"/>
  <mergeCells count="15">
    <mergeCell ref="H11:Z11"/>
    <mergeCell ref="D30:E30"/>
    <mergeCell ref="D31:E31"/>
    <mergeCell ref="B2:E2"/>
    <mergeCell ref="B11:E11"/>
    <mergeCell ref="H2:Z2"/>
    <mergeCell ref="D3:E3"/>
    <mergeCell ref="H3:Z10"/>
    <mergeCell ref="D4:E4"/>
    <mergeCell ref="D5:E5"/>
    <mergeCell ref="D6:E6"/>
    <mergeCell ref="F3:G3"/>
    <mergeCell ref="F4:G4"/>
    <mergeCell ref="F5:G5"/>
    <mergeCell ref="F6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L259"/>
  <sheetViews>
    <sheetView showGridLines="0" zoomScale="80" zoomScaleNormal="80" workbookViewId="0">
      <pane ySplit="13" topLeftCell="A137" activePane="bottomLeft" state="frozen"/>
      <selection pane="bottomLeft" activeCell="F239" sqref="F239"/>
    </sheetView>
  </sheetViews>
  <sheetFormatPr defaultColWidth="4.44140625" defaultRowHeight="13.8" outlineLevelRow="1"/>
  <cols>
    <col min="1" max="1" width="4.88671875" style="20" customWidth="1"/>
    <col min="2" max="2" width="25.109375" style="20" customWidth="1"/>
    <col min="3" max="3" width="94.33203125" style="20" customWidth="1"/>
    <col min="4" max="4" width="17.33203125" style="20" customWidth="1"/>
    <col min="5" max="5" width="12.6640625" style="20" customWidth="1"/>
    <col min="6" max="6" width="17.6640625" style="21" bestFit="1" customWidth="1"/>
    <col min="7" max="7" width="24" style="20" customWidth="1"/>
    <col min="8" max="8" width="19.44140625" style="20" bestFit="1" customWidth="1"/>
    <col min="9" max="9" width="24" style="20" customWidth="1"/>
    <col min="10" max="10" width="14.88671875" style="20" customWidth="1"/>
    <col min="11" max="11" width="24.109375" style="20" customWidth="1"/>
    <col min="12" max="12" width="16.109375" style="20" customWidth="1"/>
    <col min="13" max="13" width="24.33203125" style="20" customWidth="1"/>
    <col min="14" max="14" width="16.109375" style="20" customWidth="1"/>
    <col min="15" max="15" width="24" style="20" customWidth="1"/>
    <col min="16" max="16" width="14" style="20" customWidth="1"/>
    <col min="17" max="17" width="24" style="20" customWidth="1"/>
    <col min="18" max="18" width="14" style="20" customWidth="1"/>
    <col min="19" max="19" width="24.109375" style="20" customWidth="1"/>
    <col min="20" max="20" width="15.88671875" style="20" customWidth="1"/>
    <col min="21" max="21" width="18.77734375" style="20" customWidth="1"/>
    <col min="22" max="22" width="20.77734375" style="20" customWidth="1"/>
    <col min="23" max="23" width="18.77734375" style="20" customWidth="1"/>
    <col min="24" max="24" width="16.6640625" style="20" customWidth="1"/>
    <col min="25" max="25" width="18.77734375" style="20" customWidth="1"/>
    <col min="26" max="26" width="20.77734375" style="20" customWidth="1"/>
    <col min="27" max="27" width="18.77734375" style="20" customWidth="1"/>
    <col min="28" max="28" width="14.6640625" style="20" customWidth="1"/>
    <col min="29" max="29" width="18.77734375" style="20" customWidth="1"/>
    <col min="30" max="30" width="20.77734375" style="20" customWidth="1"/>
    <col min="31" max="31" width="18.77734375" style="20" customWidth="1"/>
    <col min="32" max="32" width="16" style="20" customWidth="1"/>
    <col min="33" max="33" width="18.77734375" style="20" customWidth="1"/>
    <col min="34" max="34" width="20.77734375" style="20" customWidth="1"/>
    <col min="35" max="36" width="18.77734375" style="20" customWidth="1"/>
    <col min="37" max="37" width="20.77734375" style="20" customWidth="1"/>
    <col min="38" max="38" width="18.77734375" style="20" customWidth="1"/>
    <col min="39" max="16384" width="4.44140625" style="20"/>
  </cols>
  <sheetData>
    <row r="1" spans="1:38" ht="21" thickBot="1">
      <c r="A1" s="25" t="s">
        <v>117</v>
      </c>
      <c r="B1" s="242" t="str">
        <f>'Master BOQ Pricing_2018-01-08'!B1</f>
        <v>To Be viewed in conjunction with BOS_000-MS-BO-010 Rev 5</v>
      </c>
      <c r="C1" s="27"/>
      <c r="D1" s="27"/>
      <c r="E1" s="27"/>
      <c r="F1" s="28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</row>
    <row r="2" spans="1:38" ht="21" thickBot="1">
      <c r="A2" s="27"/>
      <c r="B2" s="1109" t="str">
        <f>C3</f>
        <v>77K0057591  /  77K0057591</v>
      </c>
      <c r="C2" s="1110"/>
      <c r="D2" s="1110"/>
      <c r="E2" s="1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1"/>
      <c r="T2" s="1098"/>
      <c r="U2" s="1099"/>
      <c r="V2" s="1099"/>
      <c r="W2" s="1099"/>
      <c r="X2" s="1099"/>
      <c r="Y2" s="1099"/>
      <c r="Z2" s="1099"/>
      <c r="AA2" s="1099"/>
      <c r="AB2" s="1099"/>
      <c r="AC2" s="1099"/>
      <c r="AD2" s="1099"/>
      <c r="AE2" s="1099"/>
      <c r="AF2" s="1099"/>
      <c r="AG2" s="1099"/>
      <c r="AH2" s="1099"/>
      <c r="AI2" s="1099"/>
      <c r="AJ2" s="1099"/>
      <c r="AK2" s="1099"/>
      <c r="AL2" s="1100"/>
    </row>
    <row r="3" spans="1:38" ht="15.6">
      <c r="A3" s="27"/>
      <c r="B3" s="88" t="s">
        <v>1</v>
      </c>
      <c r="C3" s="178" t="str">
        <f>CONCATENATE('EXE Dashboard'!C4,"  /  ",'EXE Dashboard'!C5)</f>
        <v>77K0057591  /  77K0057591</v>
      </c>
      <c r="D3" s="1074" t="s">
        <v>362</v>
      </c>
      <c r="E3" s="1075"/>
      <c r="F3" s="1111">
        <f>'EXE Dashboard'!C17</f>
        <v>0</v>
      </c>
      <c r="G3" s="1112"/>
      <c r="H3" s="1112"/>
      <c r="I3" s="1112"/>
      <c r="J3" s="1112"/>
      <c r="K3" s="1113"/>
      <c r="L3" s="1089"/>
      <c r="M3" s="1090"/>
      <c r="N3" s="1090"/>
      <c r="O3" s="1090"/>
      <c r="P3" s="1090"/>
      <c r="Q3" s="1090"/>
      <c r="R3" s="1090"/>
      <c r="S3" s="1091"/>
      <c r="T3" s="1102" t="s">
        <v>279</v>
      </c>
      <c r="U3" s="1102"/>
      <c r="V3" s="1102"/>
      <c r="W3" s="1102"/>
      <c r="X3" s="1102"/>
      <c r="Y3" s="1102"/>
      <c r="Z3" s="1102"/>
      <c r="AA3" s="1102"/>
      <c r="AB3" s="1102"/>
      <c r="AC3" s="1102"/>
      <c r="AD3" s="1102"/>
      <c r="AE3" s="1102"/>
      <c r="AF3" s="1102"/>
      <c r="AG3" s="1102"/>
      <c r="AH3" s="1102"/>
      <c r="AI3" s="1102"/>
      <c r="AJ3" s="1102"/>
      <c r="AK3" s="1102"/>
      <c r="AL3" s="1103"/>
    </row>
    <row r="4" spans="1:38" ht="16.5" customHeight="1">
      <c r="A4" s="27"/>
      <c r="B4" s="89" t="s">
        <v>0</v>
      </c>
      <c r="C4" s="449" t="str">
        <f>'EXE Dashboard'!C6</f>
        <v xml:space="preserve">Eletronic Communications Network (Pty) Ltd </v>
      </c>
      <c r="D4" s="1076" t="s">
        <v>2</v>
      </c>
      <c r="E4" s="1077"/>
      <c r="F4" s="1114" t="str">
        <f>'EXE Dashboard'!C18</f>
        <v>Ethekwini</v>
      </c>
      <c r="G4" s="1115"/>
      <c r="H4" s="1115"/>
      <c r="I4" s="1115"/>
      <c r="J4" s="1115"/>
      <c r="K4" s="1116"/>
      <c r="L4" s="1092"/>
      <c r="M4" s="1093"/>
      <c r="N4" s="1093"/>
      <c r="O4" s="1093"/>
      <c r="P4" s="1093"/>
      <c r="Q4" s="1093"/>
      <c r="R4" s="1093"/>
      <c r="S4" s="1094"/>
      <c r="T4" s="1104"/>
      <c r="U4" s="1104"/>
      <c r="V4" s="1104"/>
      <c r="W4" s="1104"/>
      <c r="X4" s="1104"/>
      <c r="Y4" s="1104"/>
      <c r="Z4" s="1104"/>
      <c r="AA4" s="1104"/>
      <c r="AB4" s="1104"/>
      <c r="AC4" s="1104"/>
      <c r="AD4" s="1104"/>
      <c r="AE4" s="1104"/>
      <c r="AF4" s="1104"/>
      <c r="AG4" s="1104"/>
      <c r="AH4" s="1104"/>
      <c r="AI4" s="1104"/>
      <c r="AJ4" s="1104"/>
      <c r="AK4" s="1104"/>
      <c r="AL4" s="1105"/>
    </row>
    <row r="5" spans="1:38" ht="16.5" customHeight="1">
      <c r="A5" s="27"/>
      <c r="B5" s="90" t="s">
        <v>306</v>
      </c>
      <c r="C5" s="449" t="str">
        <f>'EXE Dashboard'!C11</f>
        <v>Siphamandla Sokhela</v>
      </c>
      <c r="D5" s="1076" t="s">
        <v>3</v>
      </c>
      <c r="E5" s="1077"/>
      <c r="F5" s="1117" t="str">
        <f>'EXE Dashboard'!C19</f>
        <v>Date: 2023/08/25</v>
      </c>
      <c r="G5" s="1118"/>
      <c r="H5" s="1118"/>
      <c r="I5" s="1118"/>
      <c r="J5" s="1118"/>
      <c r="K5" s="1119"/>
      <c r="L5" s="1092"/>
      <c r="M5" s="1093"/>
      <c r="N5" s="1093"/>
      <c r="O5" s="1093"/>
      <c r="P5" s="1093"/>
      <c r="Q5" s="1093"/>
      <c r="R5" s="1093"/>
      <c r="S5" s="1094"/>
      <c r="T5" s="1104"/>
      <c r="U5" s="1104"/>
      <c r="V5" s="1104"/>
      <c r="W5" s="1104"/>
      <c r="X5" s="1104"/>
      <c r="Y5" s="1104"/>
      <c r="Z5" s="1104"/>
      <c r="AA5" s="1104"/>
      <c r="AB5" s="1104"/>
      <c r="AC5" s="1104"/>
      <c r="AD5" s="1104"/>
      <c r="AE5" s="1104"/>
      <c r="AF5" s="1104"/>
      <c r="AG5" s="1104"/>
      <c r="AH5" s="1104"/>
      <c r="AI5" s="1104"/>
      <c r="AJ5" s="1104"/>
      <c r="AK5" s="1104"/>
      <c r="AL5" s="1105"/>
    </row>
    <row r="6" spans="1:38" ht="16.5" customHeight="1">
      <c r="A6" s="27"/>
      <c r="B6" s="90" t="s">
        <v>307</v>
      </c>
      <c r="C6" s="449" t="str">
        <f>'EXE Dashboard'!C12</f>
        <v>Siphamandla Sokhela</v>
      </c>
      <c r="D6" s="1126" t="s">
        <v>361</v>
      </c>
      <c r="E6" s="1127"/>
      <c r="F6" s="1120" t="str">
        <f>'EXE Dashboard'!C16</f>
        <v>Phoenix Industrial Access PoP - ECN - Roots Dube Village</v>
      </c>
      <c r="G6" s="1121"/>
      <c r="H6" s="1121"/>
      <c r="I6" s="1121"/>
      <c r="J6" s="1121"/>
      <c r="K6" s="1122"/>
      <c r="L6" s="1092"/>
      <c r="M6" s="1093"/>
      <c r="N6" s="1093"/>
      <c r="O6" s="1093"/>
      <c r="P6" s="1093"/>
      <c r="Q6" s="1093"/>
      <c r="R6" s="1093"/>
      <c r="S6" s="1094"/>
      <c r="T6" s="1104"/>
      <c r="U6" s="1104"/>
      <c r="V6" s="1104"/>
      <c r="W6" s="1104"/>
      <c r="X6" s="1104"/>
      <c r="Y6" s="1104"/>
      <c r="Z6" s="1104"/>
      <c r="AA6" s="1104"/>
      <c r="AB6" s="1104"/>
      <c r="AC6" s="1104"/>
      <c r="AD6" s="1104"/>
      <c r="AE6" s="1104"/>
      <c r="AF6" s="1104"/>
      <c r="AG6" s="1104"/>
      <c r="AH6" s="1104"/>
      <c r="AI6" s="1104"/>
      <c r="AJ6" s="1104"/>
      <c r="AK6" s="1104"/>
      <c r="AL6" s="1105"/>
    </row>
    <row r="7" spans="1:38" ht="16.5" customHeight="1" thickBot="1">
      <c r="A7" s="27"/>
      <c r="B7" s="29" t="s">
        <v>462</v>
      </c>
      <c r="C7" s="609">
        <f>'EXE Dashboard'!C13</f>
        <v>0</v>
      </c>
      <c r="D7" s="1128"/>
      <c r="E7" s="1129"/>
      <c r="F7" s="1123"/>
      <c r="G7" s="1124"/>
      <c r="H7" s="1124"/>
      <c r="I7" s="1124"/>
      <c r="J7" s="1124"/>
      <c r="K7" s="1125"/>
      <c r="L7" s="1092"/>
      <c r="M7" s="1093"/>
      <c r="N7" s="1093"/>
      <c r="O7" s="1093"/>
      <c r="P7" s="1093"/>
      <c r="Q7" s="1093"/>
      <c r="R7" s="1093"/>
      <c r="S7" s="1094"/>
      <c r="T7" s="1104"/>
      <c r="U7" s="1104"/>
      <c r="V7" s="1104"/>
      <c r="W7" s="1104"/>
      <c r="X7" s="1104"/>
      <c r="Y7" s="1104"/>
      <c r="Z7" s="1104"/>
      <c r="AA7" s="1104"/>
      <c r="AB7" s="1104"/>
      <c r="AC7" s="1104"/>
      <c r="AD7" s="1104"/>
      <c r="AE7" s="1104"/>
      <c r="AF7" s="1104"/>
      <c r="AG7" s="1104"/>
      <c r="AH7" s="1104"/>
      <c r="AI7" s="1104"/>
      <c r="AJ7" s="1104"/>
      <c r="AK7" s="1104"/>
      <c r="AL7" s="1105"/>
    </row>
    <row r="8" spans="1:38" ht="17.25" customHeight="1" thickBot="1">
      <c r="A8" s="27"/>
      <c r="B8" s="29" t="s">
        <v>118</v>
      </c>
      <c r="C8" s="1080"/>
      <c r="D8" s="1081"/>
      <c r="E8" s="1082"/>
      <c r="F8" s="1086"/>
      <c r="G8" s="1087"/>
      <c r="H8" s="1087"/>
      <c r="I8" s="1087"/>
      <c r="J8" s="1087"/>
      <c r="K8" s="1088"/>
      <c r="L8" s="1092"/>
      <c r="M8" s="1093"/>
      <c r="N8" s="1093"/>
      <c r="O8" s="1093"/>
      <c r="P8" s="1093"/>
      <c r="Q8" s="1093"/>
      <c r="R8" s="1093"/>
      <c r="S8" s="1094"/>
      <c r="T8" s="1104"/>
      <c r="U8" s="1104"/>
      <c r="V8" s="1104"/>
      <c r="W8" s="1104"/>
      <c r="X8" s="1104"/>
      <c r="Y8" s="1104"/>
      <c r="Z8" s="1104"/>
      <c r="AA8" s="1104"/>
      <c r="AB8" s="1104"/>
      <c r="AC8" s="1104"/>
      <c r="AD8" s="1104"/>
      <c r="AE8" s="1104"/>
      <c r="AF8" s="1104"/>
      <c r="AG8" s="1104"/>
      <c r="AH8" s="1104"/>
      <c r="AI8" s="1104"/>
      <c r="AJ8" s="1104"/>
      <c r="AK8" s="1104"/>
      <c r="AL8" s="1105"/>
    </row>
    <row r="9" spans="1:38" ht="17.25" customHeight="1" thickBot="1">
      <c r="A9" s="27"/>
      <c r="B9" s="1083"/>
      <c r="C9" s="1084"/>
      <c r="D9" s="1084"/>
      <c r="E9" s="1085"/>
      <c r="F9" s="1086"/>
      <c r="G9" s="1087"/>
      <c r="H9" s="1087"/>
      <c r="I9" s="1087"/>
      <c r="J9" s="1087"/>
      <c r="K9" s="1088"/>
      <c r="L9" s="1092"/>
      <c r="M9" s="1093"/>
      <c r="N9" s="1093"/>
      <c r="O9" s="1093"/>
      <c r="P9" s="1093"/>
      <c r="Q9" s="1093"/>
      <c r="R9" s="1093"/>
      <c r="S9" s="1094"/>
      <c r="T9" s="1104"/>
      <c r="U9" s="1104"/>
      <c r="V9" s="1104"/>
      <c r="W9" s="1104"/>
      <c r="X9" s="1104"/>
      <c r="Y9" s="1104"/>
      <c r="Z9" s="1104"/>
      <c r="AA9" s="1104"/>
      <c r="AB9" s="1104"/>
      <c r="AC9" s="1104"/>
      <c r="AD9" s="1104"/>
      <c r="AE9" s="1104"/>
      <c r="AF9" s="1104"/>
      <c r="AG9" s="1104"/>
      <c r="AH9" s="1104"/>
      <c r="AI9" s="1104"/>
      <c r="AJ9" s="1104"/>
      <c r="AK9" s="1104"/>
      <c r="AL9" s="1105"/>
    </row>
    <row r="10" spans="1:38" ht="17.25" customHeight="1" thickBot="1">
      <c r="A10" s="27"/>
      <c r="B10" s="1083"/>
      <c r="C10" s="1084"/>
      <c r="D10" s="1084"/>
      <c r="E10" s="1085"/>
      <c r="F10" s="1086"/>
      <c r="G10" s="1087"/>
      <c r="H10" s="1087"/>
      <c r="I10" s="1087"/>
      <c r="J10" s="1087"/>
      <c r="K10" s="1088"/>
      <c r="L10" s="1092"/>
      <c r="M10" s="1093"/>
      <c r="N10" s="1093"/>
      <c r="O10" s="1093"/>
      <c r="P10" s="1093"/>
      <c r="Q10" s="1093"/>
      <c r="R10" s="1093"/>
      <c r="S10" s="1094"/>
      <c r="T10" s="1104"/>
      <c r="U10" s="1104"/>
      <c r="V10" s="1104"/>
      <c r="W10" s="1104"/>
      <c r="X10" s="1104"/>
      <c r="Y10" s="1104"/>
      <c r="Z10" s="1104"/>
      <c r="AA10" s="1104"/>
      <c r="AB10" s="1104"/>
      <c r="AC10" s="1104"/>
      <c r="AD10" s="1104"/>
      <c r="AE10" s="1104"/>
      <c r="AF10" s="1104"/>
      <c r="AG10" s="1104"/>
      <c r="AH10" s="1104"/>
      <c r="AI10" s="1104"/>
      <c r="AJ10" s="1104"/>
      <c r="AK10" s="1104"/>
      <c r="AL10" s="1105"/>
    </row>
    <row r="11" spans="1:38" ht="17.25" customHeight="1" thickBot="1">
      <c r="A11" s="27"/>
      <c r="B11" s="1083"/>
      <c r="C11" s="1084"/>
      <c r="D11" s="1084"/>
      <c r="E11" s="1085"/>
      <c r="F11" s="1086"/>
      <c r="G11" s="1087"/>
      <c r="H11" s="1087"/>
      <c r="I11" s="1087"/>
      <c r="J11" s="1087"/>
      <c r="K11" s="1088"/>
      <c r="L11" s="1095"/>
      <c r="M11" s="1096"/>
      <c r="N11" s="1096"/>
      <c r="O11" s="1096"/>
      <c r="P11" s="1096"/>
      <c r="Q11" s="1096"/>
      <c r="R11" s="1096"/>
      <c r="S11" s="1097"/>
      <c r="T11" s="1106"/>
      <c r="U11" s="1107"/>
      <c r="V11" s="1107"/>
      <c r="W11" s="1107"/>
      <c r="X11" s="1107"/>
      <c r="Y11" s="1107"/>
      <c r="Z11" s="1107"/>
      <c r="AA11" s="1107"/>
      <c r="AB11" s="1107"/>
      <c r="AC11" s="1107"/>
      <c r="AD11" s="1107"/>
      <c r="AE11" s="1107"/>
      <c r="AF11" s="1107"/>
      <c r="AG11" s="1107"/>
      <c r="AH11" s="1107"/>
      <c r="AI11" s="1107"/>
      <c r="AJ11" s="1107"/>
      <c r="AK11" s="1107"/>
      <c r="AL11" s="1108"/>
    </row>
    <row r="12" spans="1:38" ht="18.600000000000001" thickBot="1">
      <c r="A12" s="27"/>
      <c r="B12" s="1078" t="s">
        <v>280</v>
      </c>
      <c r="C12" s="1079"/>
      <c r="D12" s="1079"/>
      <c r="E12" s="1079"/>
      <c r="F12" s="1079"/>
      <c r="G12" s="1079"/>
      <c r="H12" s="1079"/>
      <c r="I12" s="1079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1078"/>
      <c r="U12" s="1079"/>
      <c r="V12" s="1079"/>
      <c r="W12" s="1079"/>
      <c r="X12" s="1079"/>
      <c r="Y12" s="1079"/>
      <c r="Z12" s="1079"/>
      <c r="AA12" s="1079"/>
      <c r="AB12" s="1079"/>
      <c r="AC12" s="1079"/>
      <c r="AD12" s="1079"/>
      <c r="AE12" s="1079"/>
      <c r="AF12" s="1079"/>
      <c r="AG12" s="1079"/>
      <c r="AH12" s="1079"/>
      <c r="AI12" s="1079"/>
      <c r="AJ12" s="1079"/>
      <c r="AK12" s="1079"/>
      <c r="AL12" s="1101"/>
    </row>
    <row r="13" spans="1:38" ht="45.75" customHeight="1" thickBot="1">
      <c r="B13" s="86" t="s">
        <v>63</v>
      </c>
      <c r="C13" s="3" t="s">
        <v>4</v>
      </c>
      <c r="D13" s="86" t="s">
        <v>30</v>
      </c>
      <c r="E13" s="87" t="s">
        <v>64</v>
      </c>
      <c r="F13" s="109" t="s">
        <v>440</v>
      </c>
      <c r="G13" s="53" t="s">
        <v>65</v>
      </c>
      <c r="H13" s="76" t="s">
        <v>275</v>
      </c>
      <c r="I13" s="53" t="s">
        <v>213</v>
      </c>
      <c r="J13" s="76" t="s">
        <v>272</v>
      </c>
      <c r="K13" s="53" t="s">
        <v>271</v>
      </c>
      <c r="L13" s="76" t="s">
        <v>273</v>
      </c>
      <c r="M13" s="53" t="s">
        <v>271</v>
      </c>
      <c r="N13" s="76" t="s">
        <v>274</v>
      </c>
      <c r="O13" s="53" t="s">
        <v>271</v>
      </c>
      <c r="P13" s="76" t="s">
        <v>276</v>
      </c>
      <c r="Q13" s="53" t="s">
        <v>271</v>
      </c>
      <c r="R13" s="76" t="s">
        <v>427</v>
      </c>
      <c r="S13" s="53" t="s">
        <v>271</v>
      </c>
      <c r="T13" s="60" t="s">
        <v>214</v>
      </c>
      <c r="U13" s="61" t="s">
        <v>211</v>
      </c>
      <c r="V13" s="62" t="s">
        <v>65</v>
      </c>
      <c r="W13" s="63" t="s">
        <v>212</v>
      </c>
      <c r="X13" s="57" t="s">
        <v>215</v>
      </c>
      <c r="Y13" s="58" t="s">
        <v>211</v>
      </c>
      <c r="Z13" s="59" t="s">
        <v>65</v>
      </c>
      <c r="AA13" s="64" t="s">
        <v>212</v>
      </c>
      <c r="AB13" s="65" t="s">
        <v>217</v>
      </c>
      <c r="AC13" s="66" t="s">
        <v>211</v>
      </c>
      <c r="AD13" s="67" t="s">
        <v>65</v>
      </c>
      <c r="AE13" s="68" t="s">
        <v>212</v>
      </c>
      <c r="AF13" s="54" t="s">
        <v>216</v>
      </c>
      <c r="AG13" s="55" t="s">
        <v>211</v>
      </c>
      <c r="AH13" s="56" t="s">
        <v>65</v>
      </c>
      <c r="AI13" s="69" t="s">
        <v>212</v>
      </c>
      <c r="AJ13" s="70" t="s">
        <v>218</v>
      </c>
      <c r="AK13" s="71" t="s">
        <v>65</v>
      </c>
      <c r="AL13" s="72" t="s">
        <v>212</v>
      </c>
    </row>
    <row r="14" spans="1:38" s="527" customFormat="1">
      <c r="B14" s="686">
        <v>1</v>
      </c>
      <c r="C14" s="687" t="s">
        <v>6</v>
      </c>
      <c r="D14" s="688"/>
      <c r="E14" s="689"/>
      <c r="F14" s="690"/>
      <c r="G14" s="691">
        <f>SUBTOTAL(9,G15)</f>
        <v>0</v>
      </c>
      <c r="H14" s="692"/>
      <c r="I14" s="691">
        <f>SUBTOTAL(9,I15)</f>
        <v>0</v>
      </c>
      <c r="J14" s="692"/>
      <c r="K14" s="691">
        <f>SUBTOTAL(9,K15)</f>
        <v>0</v>
      </c>
      <c r="L14" s="692"/>
      <c r="M14" s="691">
        <f>SUBTOTAL(9,M15)</f>
        <v>0</v>
      </c>
      <c r="N14" s="692"/>
      <c r="O14" s="691">
        <f>SUBTOTAL(9,O15)</f>
        <v>0</v>
      </c>
      <c r="P14" s="692"/>
      <c r="Q14" s="693">
        <f>SUBTOTAL(9,Q15)</f>
        <v>0</v>
      </c>
      <c r="R14" s="694"/>
      <c r="S14" s="691">
        <f>SUBTOTAL(9,S15)</f>
        <v>0</v>
      </c>
      <c r="T14" s="692"/>
      <c r="U14" s="695"/>
      <c r="V14" s="696"/>
      <c r="W14" s="697"/>
      <c r="X14" s="692"/>
      <c r="Y14" s="695"/>
      <c r="Z14" s="696"/>
      <c r="AA14" s="697"/>
      <c r="AB14" s="692"/>
      <c r="AC14" s="695"/>
      <c r="AD14" s="696"/>
      <c r="AE14" s="697"/>
      <c r="AF14" s="692"/>
      <c r="AG14" s="695"/>
      <c r="AH14" s="696"/>
      <c r="AI14" s="697"/>
      <c r="AJ14" s="695"/>
      <c r="AK14" s="696"/>
      <c r="AL14" s="698"/>
    </row>
    <row r="15" spans="1:38" s="527" customFormat="1">
      <c r="B15" s="699">
        <v>1.1000000000000001</v>
      </c>
      <c r="C15" s="700" t="s">
        <v>66</v>
      </c>
      <c r="D15" s="701" t="s">
        <v>22</v>
      </c>
      <c r="E15" s="702">
        <v>850</v>
      </c>
      <c r="F15" s="703"/>
      <c r="G15" s="704">
        <f t="shared" ref="G15" si="0">+F15*E15</f>
        <v>0</v>
      </c>
      <c r="H15" s="705"/>
      <c r="I15" s="704">
        <f>+H15*$E15</f>
        <v>0</v>
      </c>
      <c r="J15" s="705"/>
      <c r="K15" s="704">
        <f>+J15*$E15</f>
        <v>0</v>
      </c>
      <c r="L15" s="705"/>
      <c r="M15" s="704">
        <f>+L15*$E15</f>
        <v>0</v>
      </c>
      <c r="N15" s="705"/>
      <c r="O15" s="704">
        <f>+N15*$E15</f>
        <v>0</v>
      </c>
      <c r="P15" s="705"/>
      <c r="Q15" s="706">
        <f>P15*E15</f>
        <v>0</v>
      </c>
      <c r="R15" s="707"/>
      <c r="S15" s="704">
        <f>R15*$E15</f>
        <v>0</v>
      </c>
      <c r="T15" s="705"/>
      <c r="U15" s="708">
        <f>T15+F15</f>
        <v>0</v>
      </c>
      <c r="V15" s="709">
        <f>U15*E15</f>
        <v>0</v>
      </c>
      <c r="W15" s="710"/>
      <c r="X15" s="711"/>
      <c r="Y15" s="708">
        <f>X15+U15</f>
        <v>0</v>
      </c>
      <c r="Z15" s="709">
        <f>Y15*E15</f>
        <v>0</v>
      </c>
      <c r="AA15" s="710"/>
      <c r="AB15" s="711"/>
      <c r="AC15" s="708">
        <f>AB15+Y15</f>
        <v>0</v>
      </c>
      <c r="AD15" s="709">
        <f>AC15*E15</f>
        <v>0</v>
      </c>
      <c r="AE15" s="712"/>
      <c r="AF15" s="711"/>
      <c r="AG15" s="708">
        <f>AF15+AC15</f>
        <v>0</v>
      </c>
      <c r="AH15" s="709">
        <f>AG15*E15</f>
        <v>0</v>
      </c>
      <c r="AI15" s="712"/>
      <c r="AJ15" s="708"/>
      <c r="AK15" s="709">
        <f>AJ15*E15</f>
        <v>0</v>
      </c>
      <c r="AL15" s="713"/>
    </row>
    <row r="16" spans="1:38" s="527" customFormat="1">
      <c r="B16" s="714">
        <f>'Master BOQ Pricing_2018-01-08'!B16</f>
        <v>2</v>
      </c>
      <c r="C16" s="715" t="str">
        <f>'Master BOQ Pricing_2018-01-08'!C16</f>
        <v>TRENCHING</v>
      </c>
      <c r="D16" s="716"/>
      <c r="E16" s="717"/>
      <c r="F16" s="718"/>
      <c r="G16" s="719">
        <f>SUBTOTAL(9,G17:G56)</f>
        <v>0</v>
      </c>
      <c r="H16" s="720"/>
      <c r="I16" s="721"/>
      <c r="J16" s="720"/>
      <c r="K16" s="721"/>
      <c r="L16" s="720"/>
      <c r="M16" s="721"/>
      <c r="N16" s="720"/>
      <c r="O16" s="721"/>
      <c r="P16" s="720"/>
      <c r="Q16" s="722"/>
      <c r="R16" s="720"/>
      <c r="S16" s="721"/>
      <c r="T16" s="720"/>
      <c r="U16" s="723"/>
      <c r="V16" s="724"/>
      <c r="W16" s="725"/>
      <c r="X16" s="720"/>
      <c r="Y16" s="723"/>
      <c r="Z16" s="724"/>
      <c r="AA16" s="725"/>
      <c r="AB16" s="720"/>
      <c r="AC16" s="723"/>
      <c r="AD16" s="724"/>
      <c r="AE16" s="725"/>
      <c r="AF16" s="720"/>
      <c r="AG16" s="723"/>
      <c r="AH16" s="724"/>
      <c r="AI16" s="725"/>
      <c r="AJ16" s="723"/>
      <c r="AK16" s="724"/>
      <c r="AL16" s="726"/>
    </row>
    <row r="17" spans="2:38" s="527" customFormat="1" outlineLevel="1">
      <c r="B17" s="699">
        <f>'Master BOQ Pricing_2018-01-08'!B17</f>
        <v>2.0099999999999998</v>
      </c>
      <c r="C17" s="700" t="str">
        <f>'Master BOQ Pricing_2018-01-08'!C17</f>
        <v>Excavation of trial pit (400mm width  x 1000mm length x 1200mm depth)</v>
      </c>
      <c r="D17" s="727" t="str">
        <f>'Master BOQ Pricing_2018-01-08'!D17</f>
        <v>m</v>
      </c>
      <c r="E17" s="702">
        <f>'Master BOQ Pricing_2018-01-08'!E17</f>
        <v>96</v>
      </c>
      <c r="F17" s="703"/>
      <c r="G17" s="704">
        <f>+F17*E17</f>
        <v>0</v>
      </c>
      <c r="H17" s="728"/>
      <c r="I17" s="729"/>
      <c r="J17" s="728"/>
      <c r="K17" s="729"/>
      <c r="L17" s="728"/>
      <c r="M17" s="729"/>
      <c r="N17" s="728"/>
      <c r="O17" s="729"/>
      <c r="P17" s="728"/>
      <c r="Q17" s="730"/>
      <c r="R17" s="731"/>
      <c r="S17" s="729"/>
      <c r="T17" s="711"/>
      <c r="U17" s="732">
        <f>T17+F17</f>
        <v>0</v>
      </c>
      <c r="V17" s="733">
        <f>U17*E17</f>
        <v>0</v>
      </c>
      <c r="W17" s="710"/>
      <c r="X17" s="711"/>
      <c r="Y17" s="732">
        <f>X17+U17</f>
        <v>0</v>
      </c>
      <c r="Z17" s="733">
        <f>Y17*E17</f>
        <v>0</v>
      </c>
      <c r="AA17" s="710"/>
      <c r="AB17" s="711"/>
      <c r="AC17" s="732">
        <f>AB17+Y17</f>
        <v>0</v>
      </c>
      <c r="AD17" s="733">
        <f>AC17*E17</f>
        <v>0</v>
      </c>
      <c r="AE17" s="712"/>
      <c r="AF17" s="711"/>
      <c r="AG17" s="732">
        <f>AF17+AC17</f>
        <v>0</v>
      </c>
      <c r="AH17" s="733">
        <f>AG17*E17</f>
        <v>0</v>
      </c>
      <c r="AI17" s="712"/>
      <c r="AJ17" s="708"/>
      <c r="AK17" s="733">
        <f>AJ17*E17</f>
        <v>0</v>
      </c>
      <c r="AL17" s="713"/>
    </row>
    <row r="18" spans="2:38" s="527" customFormat="1" outlineLevel="1">
      <c r="B18" s="699">
        <f>'Master BOQ Pricing_2018-01-08'!B18</f>
        <v>2.02</v>
      </c>
      <c r="C18" s="700" t="str">
        <f>'Master BOQ Pricing_2018-01-08'!C18</f>
        <v>Excavation of drill pit (1500mm width  x 1500mm length x 1500mm depth)</v>
      </c>
      <c r="D18" s="727" t="str">
        <f>'Master BOQ Pricing_2018-01-08'!D18</f>
        <v>m</v>
      </c>
      <c r="E18" s="702">
        <f>'Master BOQ Pricing_2018-01-08'!E18</f>
        <v>185</v>
      </c>
      <c r="F18" s="703"/>
      <c r="G18" s="704">
        <f t="shared" ref="G18:G64" si="1">+F18*E18</f>
        <v>0</v>
      </c>
      <c r="H18" s="728"/>
      <c r="I18" s="729"/>
      <c r="J18" s="728"/>
      <c r="K18" s="729"/>
      <c r="L18" s="728"/>
      <c r="M18" s="729"/>
      <c r="N18" s="728"/>
      <c r="O18" s="729"/>
      <c r="P18" s="728"/>
      <c r="Q18" s="730"/>
      <c r="R18" s="731"/>
      <c r="S18" s="729"/>
      <c r="T18" s="711"/>
      <c r="U18" s="732">
        <f>T18+F18</f>
        <v>0</v>
      </c>
      <c r="V18" s="733">
        <f>U18*E18</f>
        <v>0</v>
      </c>
      <c r="W18" s="710"/>
      <c r="X18" s="711"/>
      <c r="Y18" s="732">
        <f t="shared" ref="Y18:Y107" si="2">X18+U18</f>
        <v>0</v>
      </c>
      <c r="Z18" s="733">
        <f t="shared" ref="Z18:Z107" si="3">Y18*E18</f>
        <v>0</v>
      </c>
      <c r="AA18" s="710"/>
      <c r="AB18" s="711"/>
      <c r="AC18" s="732">
        <f t="shared" ref="AC18:AC107" si="4">AB18+Y18</f>
        <v>0</v>
      </c>
      <c r="AD18" s="733">
        <f t="shared" ref="AD18:AD107" si="5">AC18*E18</f>
        <v>0</v>
      </c>
      <c r="AE18" s="712"/>
      <c r="AF18" s="711"/>
      <c r="AG18" s="732">
        <f t="shared" ref="AG18:AG107" si="6">AF18+AC18</f>
        <v>0</v>
      </c>
      <c r="AH18" s="733">
        <f t="shared" ref="AH18:AH107" si="7">AG18*E18</f>
        <v>0</v>
      </c>
      <c r="AI18" s="712"/>
      <c r="AJ18" s="708"/>
      <c r="AK18" s="733">
        <f t="shared" ref="AK18:AK107" si="8">AJ18*E18</f>
        <v>0</v>
      </c>
      <c r="AL18" s="713"/>
    </row>
    <row r="19" spans="2:38" s="527" customFormat="1" outlineLevel="1">
      <c r="B19" s="699">
        <f>'Master BOQ Pricing_2018-01-08'!B19</f>
        <v>2.0299999999999998</v>
      </c>
      <c r="C19" s="700" t="str">
        <f>'Master BOQ Pricing_2018-01-08'!C19</f>
        <v>Excavation of trial pit to prove municipal duct  (400mm width x 1000mm Length x 700mm depth)</v>
      </c>
      <c r="D19" s="727" t="str">
        <f>'Master BOQ Pricing_2018-01-08'!D19</f>
        <v>m</v>
      </c>
      <c r="E19" s="702">
        <f>'Master BOQ Pricing_2018-01-08'!E19</f>
        <v>60.23</v>
      </c>
      <c r="F19" s="703"/>
      <c r="G19" s="704">
        <f t="shared" si="1"/>
        <v>0</v>
      </c>
      <c r="H19" s="728"/>
      <c r="I19" s="729"/>
      <c r="J19" s="728"/>
      <c r="K19" s="729"/>
      <c r="L19" s="728"/>
      <c r="M19" s="729"/>
      <c r="N19" s="728"/>
      <c r="O19" s="729"/>
      <c r="P19" s="728"/>
      <c r="Q19" s="730"/>
      <c r="R19" s="731"/>
      <c r="S19" s="729"/>
      <c r="T19" s="711"/>
      <c r="U19" s="732">
        <f t="shared" ref="U19:U64" si="9">T19+F19</f>
        <v>0</v>
      </c>
      <c r="V19" s="733">
        <f t="shared" ref="V19:V64" si="10">U19*E19</f>
        <v>0</v>
      </c>
      <c r="W19" s="710"/>
      <c r="X19" s="711"/>
      <c r="Y19" s="732">
        <f t="shared" si="2"/>
        <v>0</v>
      </c>
      <c r="Z19" s="733">
        <f t="shared" si="3"/>
        <v>0</v>
      </c>
      <c r="AA19" s="710"/>
      <c r="AB19" s="711"/>
      <c r="AC19" s="732">
        <f t="shared" si="4"/>
        <v>0</v>
      </c>
      <c r="AD19" s="733">
        <f t="shared" si="5"/>
        <v>0</v>
      </c>
      <c r="AE19" s="712"/>
      <c r="AF19" s="711"/>
      <c r="AG19" s="732">
        <f t="shared" si="6"/>
        <v>0</v>
      </c>
      <c r="AH19" s="733">
        <f t="shared" si="7"/>
        <v>0</v>
      </c>
      <c r="AI19" s="712"/>
      <c r="AJ19" s="708"/>
      <c r="AK19" s="733">
        <f t="shared" si="8"/>
        <v>0</v>
      </c>
      <c r="AL19" s="713"/>
    </row>
    <row r="20" spans="2:38" s="527" customFormat="1" outlineLevel="1">
      <c r="B20" s="699">
        <f>'Master BOQ Pricing_2018-01-08'!B20</f>
        <v>2.04</v>
      </c>
      <c r="C20" s="700" t="str">
        <f>'Master BOQ Pricing_2018-01-08'!C20</f>
        <v>Excavation of trial pit to prove municipal duct  (400mm width x 1000mm Length x 1000mm depth)</v>
      </c>
      <c r="D20" s="727" t="str">
        <f>'Master BOQ Pricing_2018-01-08'!D20</f>
        <v>m</v>
      </c>
      <c r="E20" s="702">
        <f>'Master BOQ Pricing_2018-01-08'!E20</f>
        <v>86.04</v>
      </c>
      <c r="F20" s="703"/>
      <c r="G20" s="704">
        <f t="shared" ref="G20:G21" si="11">+F20*E20</f>
        <v>0</v>
      </c>
      <c r="H20" s="728"/>
      <c r="I20" s="729"/>
      <c r="J20" s="728"/>
      <c r="K20" s="729"/>
      <c r="L20" s="728"/>
      <c r="M20" s="729"/>
      <c r="N20" s="728"/>
      <c r="O20" s="729"/>
      <c r="P20" s="728"/>
      <c r="Q20" s="730"/>
      <c r="R20" s="731"/>
      <c r="S20" s="729"/>
      <c r="T20" s="711"/>
      <c r="U20" s="732">
        <f t="shared" si="9"/>
        <v>0</v>
      </c>
      <c r="V20" s="733">
        <f t="shared" si="10"/>
        <v>0</v>
      </c>
      <c r="W20" s="710"/>
      <c r="X20" s="711"/>
      <c r="Y20" s="732">
        <f t="shared" si="2"/>
        <v>0</v>
      </c>
      <c r="Z20" s="733">
        <f t="shared" si="3"/>
        <v>0</v>
      </c>
      <c r="AA20" s="710"/>
      <c r="AB20" s="711"/>
      <c r="AC20" s="732">
        <f t="shared" si="4"/>
        <v>0</v>
      </c>
      <c r="AD20" s="733">
        <f t="shared" si="5"/>
        <v>0</v>
      </c>
      <c r="AE20" s="712"/>
      <c r="AF20" s="711"/>
      <c r="AG20" s="732">
        <f t="shared" si="6"/>
        <v>0</v>
      </c>
      <c r="AH20" s="733">
        <f t="shared" si="7"/>
        <v>0</v>
      </c>
      <c r="AI20" s="712"/>
      <c r="AJ20" s="708"/>
      <c r="AK20" s="733">
        <f t="shared" si="8"/>
        <v>0</v>
      </c>
      <c r="AL20" s="713"/>
    </row>
    <row r="21" spans="2:38" s="527" customFormat="1" outlineLevel="1">
      <c r="B21" s="699">
        <f>'Master BOQ Pricing_2018-01-08'!B21</f>
        <v>2.0499999999999998</v>
      </c>
      <c r="C21" s="700" t="str">
        <f>'Master BOQ Pricing_2018-01-08'!C21</f>
        <v xml:space="preserve">ISP - Excavation and backfilling of trench in normal soil Pickable (300 mm width x 1000 mm depth) </v>
      </c>
      <c r="D21" s="727" t="str">
        <f>'Master BOQ Pricing_2018-01-08'!D21</f>
        <v>m</v>
      </c>
      <c r="E21" s="702">
        <f>'Master BOQ Pricing_2018-01-08'!E21</f>
        <v>68.75</v>
      </c>
      <c r="F21" s="703"/>
      <c r="G21" s="704">
        <f t="shared" si="11"/>
        <v>0</v>
      </c>
      <c r="H21" s="728"/>
      <c r="I21" s="729"/>
      <c r="J21" s="728"/>
      <c r="K21" s="729"/>
      <c r="L21" s="728"/>
      <c r="M21" s="729"/>
      <c r="N21" s="728"/>
      <c r="O21" s="729"/>
      <c r="P21" s="728"/>
      <c r="Q21" s="730"/>
      <c r="R21" s="731"/>
      <c r="S21" s="729"/>
      <c r="T21" s="711"/>
      <c r="U21" s="732">
        <f t="shared" si="9"/>
        <v>0</v>
      </c>
      <c r="V21" s="733">
        <f t="shared" si="10"/>
        <v>0</v>
      </c>
      <c r="W21" s="710"/>
      <c r="X21" s="711"/>
      <c r="Y21" s="732">
        <f t="shared" ref="Y21:Y56" si="12">X21+U21</f>
        <v>0</v>
      </c>
      <c r="Z21" s="733">
        <f t="shared" ref="Z21:Z56" si="13">Y21*E21</f>
        <v>0</v>
      </c>
      <c r="AA21" s="710"/>
      <c r="AB21" s="711"/>
      <c r="AC21" s="732">
        <f t="shared" ref="AC21:AC56" si="14">AB21+Y21</f>
        <v>0</v>
      </c>
      <c r="AD21" s="733">
        <f t="shared" ref="AD21:AD56" si="15">AC21*E21</f>
        <v>0</v>
      </c>
      <c r="AE21" s="712"/>
      <c r="AF21" s="711"/>
      <c r="AG21" s="732">
        <f t="shared" ref="AG21:AG56" si="16">AF21+AC21</f>
        <v>0</v>
      </c>
      <c r="AH21" s="733">
        <f t="shared" ref="AH21:AH56" si="17">AG21*E21</f>
        <v>0</v>
      </c>
      <c r="AI21" s="712"/>
      <c r="AJ21" s="708"/>
      <c r="AK21" s="733">
        <f t="shared" ref="AK21:AK56" si="18">AJ21*E21</f>
        <v>0</v>
      </c>
      <c r="AL21" s="713"/>
    </row>
    <row r="22" spans="2:38" s="527" customFormat="1" ht="27.6" outlineLevel="1">
      <c r="B22" s="699">
        <f>'Master BOQ Pricing_2018-01-08'!B22</f>
        <v>2.06</v>
      </c>
      <c r="C22" s="700" t="str">
        <f>'Master BOQ Pricing_2018-01-08'!C22</f>
        <v>ISP - Excavation and backfilling of trench in normal soil Pickable (300 mm width x 400 mm depth) (For access layer / FTTH layer in MDU's)</v>
      </c>
      <c r="D22" s="727" t="str">
        <f>'Master BOQ Pricing_2018-01-08'!D22</f>
        <v>m</v>
      </c>
      <c r="E22" s="702">
        <f>'Master BOQ Pricing_2018-01-08'!E22</f>
        <v>34.65</v>
      </c>
      <c r="F22" s="703"/>
      <c r="G22" s="704">
        <f t="shared" si="1"/>
        <v>0</v>
      </c>
      <c r="H22" s="728"/>
      <c r="I22" s="729"/>
      <c r="J22" s="728"/>
      <c r="K22" s="729"/>
      <c r="L22" s="728"/>
      <c r="M22" s="729"/>
      <c r="N22" s="728"/>
      <c r="O22" s="729"/>
      <c r="P22" s="728"/>
      <c r="Q22" s="730"/>
      <c r="R22" s="731"/>
      <c r="S22" s="729"/>
      <c r="T22" s="711"/>
      <c r="U22" s="732">
        <f t="shared" ref="U22:U56" si="19">T22+F22</f>
        <v>0</v>
      </c>
      <c r="V22" s="733">
        <f t="shared" ref="V22:V56" si="20">U22*E22</f>
        <v>0</v>
      </c>
      <c r="W22" s="710"/>
      <c r="X22" s="711"/>
      <c r="Y22" s="732">
        <f t="shared" si="12"/>
        <v>0</v>
      </c>
      <c r="Z22" s="733">
        <f t="shared" si="13"/>
        <v>0</v>
      </c>
      <c r="AA22" s="710"/>
      <c r="AB22" s="711"/>
      <c r="AC22" s="732">
        <f t="shared" si="14"/>
        <v>0</v>
      </c>
      <c r="AD22" s="733">
        <f t="shared" si="15"/>
        <v>0</v>
      </c>
      <c r="AE22" s="712"/>
      <c r="AF22" s="711"/>
      <c r="AG22" s="732">
        <f t="shared" si="16"/>
        <v>0</v>
      </c>
      <c r="AH22" s="733">
        <f t="shared" si="17"/>
        <v>0</v>
      </c>
      <c r="AI22" s="712"/>
      <c r="AJ22" s="708"/>
      <c r="AK22" s="733">
        <f t="shared" si="18"/>
        <v>0</v>
      </c>
      <c r="AL22" s="713"/>
    </row>
    <row r="23" spans="2:38" s="528" customFormat="1" ht="27.6" customHeight="1" outlineLevel="1">
      <c r="B23" s="699">
        <f>'Master BOQ Pricing_2018-01-08'!B23</f>
        <v>2.0699999999999998</v>
      </c>
      <c r="C23" s="700" t="str">
        <f>'Master BOQ Pricing_2018-01-08'!C23</f>
        <v>ISP - Excavation and backfilling of trench in normal soil - 300mm width x  400mm depth including trench covered by ≤ 100mm of asphalt  or concrete (Pickable 18Mpa)</v>
      </c>
      <c r="D23" s="727" t="str">
        <f>'Master BOQ Pricing_2018-01-08'!D23</f>
        <v>m</v>
      </c>
      <c r="E23" s="702">
        <f>'Master BOQ Pricing_2018-01-08'!E23</f>
        <v>81.2</v>
      </c>
      <c r="F23" s="703"/>
      <c r="G23" s="704">
        <f t="shared" si="1"/>
        <v>0</v>
      </c>
      <c r="H23" s="728"/>
      <c r="I23" s="729"/>
      <c r="J23" s="728"/>
      <c r="K23" s="729"/>
      <c r="L23" s="728"/>
      <c r="M23" s="729"/>
      <c r="N23" s="728"/>
      <c r="O23" s="729"/>
      <c r="P23" s="728"/>
      <c r="Q23" s="730"/>
      <c r="R23" s="731"/>
      <c r="S23" s="729"/>
      <c r="T23" s="711"/>
      <c r="U23" s="732">
        <f t="shared" si="19"/>
        <v>0</v>
      </c>
      <c r="V23" s="733">
        <f t="shared" si="20"/>
        <v>0</v>
      </c>
      <c r="W23" s="710"/>
      <c r="X23" s="711"/>
      <c r="Y23" s="732">
        <f t="shared" si="12"/>
        <v>0</v>
      </c>
      <c r="Z23" s="733">
        <f t="shared" si="13"/>
        <v>0</v>
      </c>
      <c r="AA23" s="710"/>
      <c r="AB23" s="711"/>
      <c r="AC23" s="732">
        <f t="shared" si="14"/>
        <v>0</v>
      </c>
      <c r="AD23" s="733">
        <f t="shared" si="15"/>
        <v>0</v>
      </c>
      <c r="AE23" s="712"/>
      <c r="AF23" s="711"/>
      <c r="AG23" s="732">
        <f t="shared" si="16"/>
        <v>0</v>
      </c>
      <c r="AH23" s="733">
        <f t="shared" si="17"/>
        <v>0</v>
      </c>
      <c r="AI23" s="712"/>
      <c r="AJ23" s="708"/>
      <c r="AK23" s="733">
        <f t="shared" si="18"/>
        <v>0</v>
      </c>
      <c r="AL23" s="713"/>
    </row>
    <row r="24" spans="2:38" s="528" customFormat="1" ht="27.6" customHeight="1" outlineLevel="1">
      <c r="B24" s="699">
        <f>'Master BOQ Pricing_2018-01-08'!B24</f>
        <v>2.08</v>
      </c>
      <c r="C24" s="700" t="str">
        <f>'Master BOQ Pricing_2018-01-08'!C24</f>
        <v>ISP - Break (already cut asphalt or concrete), excavation and backfilling of trench in normal soil - 300mm width x  400mm depth including trench covered by ≤ 100mm of asphalt or concrete (Pickable 18Mpa)</v>
      </c>
      <c r="D24" s="727" t="str">
        <f>'Master BOQ Pricing_2018-01-08'!D24</f>
        <v>m</v>
      </c>
      <c r="E24" s="702">
        <f>'Master BOQ Pricing_2018-01-08'!E24</f>
        <v>31.78</v>
      </c>
      <c r="F24" s="703"/>
      <c r="G24" s="704">
        <f t="shared" si="1"/>
        <v>0</v>
      </c>
      <c r="H24" s="728"/>
      <c r="I24" s="729"/>
      <c r="J24" s="728"/>
      <c r="K24" s="729"/>
      <c r="L24" s="728"/>
      <c r="M24" s="729"/>
      <c r="N24" s="728"/>
      <c r="O24" s="729"/>
      <c r="P24" s="728"/>
      <c r="Q24" s="730"/>
      <c r="R24" s="731"/>
      <c r="S24" s="729"/>
      <c r="T24" s="711"/>
      <c r="U24" s="732">
        <f t="shared" si="19"/>
        <v>0</v>
      </c>
      <c r="V24" s="733">
        <f t="shared" si="20"/>
        <v>0</v>
      </c>
      <c r="W24" s="710"/>
      <c r="X24" s="711"/>
      <c r="Y24" s="732">
        <f t="shared" si="12"/>
        <v>0</v>
      </c>
      <c r="Z24" s="733">
        <f t="shared" si="13"/>
        <v>0</v>
      </c>
      <c r="AA24" s="710"/>
      <c r="AB24" s="711"/>
      <c r="AC24" s="732">
        <f t="shared" si="14"/>
        <v>0</v>
      </c>
      <c r="AD24" s="733">
        <f t="shared" si="15"/>
        <v>0</v>
      </c>
      <c r="AE24" s="712"/>
      <c r="AF24" s="711"/>
      <c r="AG24" s="732">
        <f t="shared" si="16"/>
        <v>0</v>
      </c>
      <c r="AH24" s="733">
        <f t="shared" si="17"/>
        <v>0</v>
      </c>
      <c r="AI24" s="712"/>
      <c r="AJ24" s="708"/>
      <c r="AK24" s="733">
        <f t="shared" si="18"/>
        <v>0</v>
      </c>
      <c r="AL24" s="713"/>
    </row>
    <row r="25" spans="2:38" s="528" customFormat="1" ht="27.6" outlineLevel="1">
      <c r="B25" s="699">
        <f>'Master BOQ Pricing_2018-01-08'!B25</f>
        <v>2.09</v>
      </c>
      <c r="C25" s="700" t="str">
        <f>'Master BOQ Pricing_2018-01-08'!C25</f>
        <v>ISP - Break (already cut asphalt or concrete), excavation and backfilling of trench in normal soil 400mm width x 700mm depth including trench covered by &gt;100mm of asphalt or concrete (Pickable 18Mpa)</v>
      </c>
      <c r="D25" s="727" t="str">
        <f>'Master BOQ Pricing_2018-01-08'!D25</f>
        <v>m</v>
      </c>
      <c r="E25" s="702">
        <f>'Master BOQ Pricing_2018-01-08'!E25</f>
        <v>84.75</v>
      </c>
      <c r="F25" s="703"/>
      <c r="G25" s="704">
        <f t="shared" ref="G25:G29" si="21">+F25*E25</f>
        <v>0</v>
      </c>
      <c r="H25" s="728"/>
      <c r="I25" s="729"/>
      <c r="J25" s="728"/>
      <c r="K25" s="729"/>
      <c r="L25" s="728"/>
      <c r="M25" s="729"/>
      <c r="N25" s="728"/>
      <c r="O25" s="729"/>
      <c r="P25" s="728"/>
      <c r="Q25" s="730"/>
      <c r="R25" s="731"/>
      <c r="S25" s="729"/>
      <c r="T25" s="711"/>
      <c r="U25" s="732">
        <f t="shared" si="19"/>
        <v>0</v>
      </c>
      <c r="V25" s="733">
        <f t="shared" si="20"/>
        <v>0</v>
      </c>
      <c r="W25" s="710"/>
      <c r="X25" s="711"/>
      <c r="Y25" s="732">
        <f t="shared" si="12"/>
        <v>0</v>
      </c>
      <c r="Z25" s="733">
        <f t="shared" si="13"/>
        <v>0</v>
      </c>
      <c r="AA25" s="710"/>
      <c r="AB25" s="711"/>
      <c r="AC25" s="732">
        <f t="shared" si="14"/>
        <v>0</v>
      </c>
      <c r="AD25" s="733">
        <f t="shared" si="15"/>
        <v>0</v>
      </c>
      <c r="AE25" s="712"/>
      <c r="AF25" s="711"/>
      <c r="AG25" s="732">
        <f t="shared" si="16"/>
        <v>0</v>
      </c>
      <c r="AH25" s="733">
        <f t="shared" si="17"/>
        <v>0</v>
      </c>
      <c r="AI25" s="712"/>
      <c r="AJ25" s="708"/>
      <c r="AK25" s="733">
        <f t="shared" si="18"/>
        <v>0</v>
      </c>
      <c r="AL25" s="713"/>
    </row>
    <row r="26" spans="2:38" s="528" customFormat="1" ht="27.6" customHeight="1" outlineLevel="1">
      <c r="B26" s="699">
        <f>'Master BOQ Pricing_2018-01-08'!B26</f>
        <v>2.1</v>
      </c>
      <c r="C26" s="700" t="str">
        <f>'Master BOQ Pricing_2018-01-08'!C26</f>
        <v xml:space="preserve">ISP - Excavation and backfilling of trench in normal soil - 300mm width x 700mm depth including trench covered by ≤  100mm of asphalt  or concrete (Pickable 18Mpa) </v>
      </c>
      <c r="D26" s="727" t="str">
        <f>'Master BOQ Pricing_2018-01-08'!D26</f>
        <v>m</v>
      </c>
      <c r="E26" s="702">
        <f>'Master BOQ Pricing_2018-01-08'!E26</f>
        <v>121.36</v>
      </c>
      <c r="F26" s="703"/>
      <c r="G26" s="704">
        <f t="shared" si="21"/>
        <v>0</v>
      </c>
      <c r="H26" s="728"/>
      <c r="I26" s="729"/>
      <c r="J26" s="728"/>
      <c r="K26" s="729"/>
      <c r="L26" s="728"/>
      <c r="M26" s="729"/>
      <c r="N26" s="728"/>
      <c r="O26" s="729"/>
      <c r="P26" s="728"/>
      <c r="Q26" s="730"/>
      <c r="R26" s="731"/>
      <c r="S26" s="729"/>
      <c r="T26" s="711"/>
      <c r="U26" s="732">
        <f t="shared" si="19"/>
        <v>0</v>
      </c>
      <c r="V26" s="733">
        <f t="shared" si="20"/>
        <v>0</v>
      </c>
      <c r="W26" s="710"/>
      <c r="X26" s="711"/>
      <c r="Y26" s="732">
        <f t="shared" si="12"/>
        <v>0</v>
      </c>
      <c r="Z26" s="733">
        <f t="shared" si="13"/>
        <v>0</v>
      </c>
      <c r="AA26" s="710"/>
      <c r="AB26" s="711"/>
      <c r="AC26" s="732">
        <f t="shared" si="14"/>
        <v>0</v>
      </c>
      <c r="AD26" s="733">
        <f t="shared" si="15"/>
        <v>0</v>
      </c>
      <c r="AE26" s="712"/>
      <c r="AF26" s="711"/>
      <c r="AG26" s="732">
        <f t="shared" si="16"/>
        <v>0</v>
      </c>
      <c r="AH26" s="733">
        <f t="shared" si="17"/>
        <v>0</v>
      </c>
      <c r="AI26" s="712"/>
      <c r="AJ26" s="708"/>
      <c r="AK26" s="733">
        <f t="shared" si="18"/>
        <v>0</v>
      </c>
      <c r="AL26" s="713"/>
    </row>
    <row r="27" spans="2:38" s="528" customFormat="1" ht="27.6" customHeight="1" outlineLevel="1">
      <c r="B27" s="699">
        <f>'Master BOQ Pricing_2018-01-08'!B27</f>
        <v>2.11</v>
      </c>
      <c r="C27" s="700" t="str">
        <f>'Master BOQ Pricing_2018-01-08'!C27</f>
        <v>ISP - Excavation and backfilling of trench in normal soil - 450mm width x  1000mm depth including trench covered by ≤ 100mm of asphalt  or concrete (Pickable 18Mpa)</v>
      </c>
      <c r="D27" s="727" t="str">
        <f>'Master BOQ Pricing_2018-01-08'!D27</f>
        <v>m</v>
      </c>
      <c r="E27" s="702">
        <f>'Master BOQ Pricing_2018-01-08'!E27</f>
        <v>260.06</v>
      </c>
      <c r="F27" s="703"/>
      <c r="G27" s="704">
        <f t="shared" si="21"/>
        <v>0</v>
      </c>
      <c r="H27" s="728"/>
      <c r="I27" s="729"/>
      <c r="J27" s="728"/>
      <c r="K27" s="729"/>
      <c r="L27" s="728"/>
      <c r="M27" s="729"/>
      <c r="N27" s="728"/>
      <c r="O27" s="729"/>
      <c r="P27" s="728"/>
      <c r="Q27" s="730"/>
      <c r="R27" s="731"/>
      <c r="S27" s="729"/>
      <c r="T27" s="711"/>
      <c r="U27" s="732">
        <f t="shared" si="19"/>
        <v>0</v>
      </c>
      <c r="V27" s="733">
        <f t="shared" si="20"/>
        <v>0</v>
      </c>
      <c r="W27" s="710"/>
      <c r="X27" s="711"/>
      <c r="Y27" s="732">
        <f t="shared" si="12"/>
        <v>0</v>
      </c>
      <c r="Z27" s="733">
        <f t="shared" si="13"/>
        <v>0</v>
      </c>
      <c r="AA27" s="710"/>
      <c r="AB27" s="711"/>
      <c r="AC27" s="732">
        <f t="shared" si="14"/>
        <v>0</v>
      </c>
      <c r="AD27" s="733">
        <f t="shared" si="15"/>
        <v>0</v>
      </c>
      <c r="AE27" s="712"/>
      <c r="AF27" s="711"/>
      <c r="AG27" s="732">
        <f t="shared" si="16"/>
        <v>0</v>
      </c>
      <c r="AH27" s="733">
        <f t="shared" si="17"/>
        <v>0</v>
      </c>
      <c r="AI27" s="712"/>
      <c r="AJ27" s="708"/>
      <c r="AK27" s="733">
        <f t="shared" si="18"/>
        <v>0</v>
      </c>
      <c r="AL27" s="713"/>
    </row>
    <row r="28" spans="2:38" s="528" customFormat="1" ht="27.6" outlineLevel="1">
      <c r="B28" s="699">
        <f>'Master BOQ Pricing_2018-01-08'!B28</f>
        <v>2.12</v>
      </c>
      <c r="C28" s="700" t="str">
        <f>'Master BOQ Pricing_2018-01-08'!C28</f>
        <v xml:space="preserve">ISP - Excavation and backfilling of trench in normal soil including cutting/asphalt / concrete &gt;100mm thick  (300mm width x 400mm depth) </v>
      </c>
      <c r="D28" s="727" t="str">
        <f>'Master BOQ Pricing_2018-01-08'!D28</f>
        <v>m</v>
      </c>
      <c r="E28" s="702">
        <f>'Master BOQ Pricing_2018-01-08'!E28</f>
        <v>256.8</v>
      </c>
      <c r="F28" s="703"/>
      <c r="G28" s="704">
        <f t="shared" si="21"/>
        <v>0</v>
      </c>
      <c r="H28" s="728"/>
      <c r="I28" s="729"/>
      <c r="J28" s="728"/>
      <c r="K28" s="729"/>
      <c r="L28" s="728"/>
      <c r="M28" s="729"/>
      <c r="N28" s="728"/>
      <c r="O28" s="729"/>
      <c r="P28" s="728"/>
      <c r="Q28" s="730"/>
      <c r="R28" s="731"/>
      <c r="S28" s="729"/>
      <c r="T28" s="711"/>
      <c r="U28" s="732">
        <f t="shared" si="19"/>
        <v>0</v>
      </c>
      <c r="V28" s="733">
        <f t="shared" si="20"/>
        <v>0</v>
      </c>
      <c r="W28" s="710"/>
      <c r="X28" s="711"/>
      <c r="Y28" s="732">
        <f t="shared" si="12"/>
        <v>0</v>
      </c>
      <c r="Z28" s="733">
        <f t="shared" si="13"/>
        <v>0</v>
      </c>
      <c r="AA28" s="710"/>
      <c r="AB28" s="711"/>
      <c r="AC28" s="732">
        <f t="shared" si="14"/>
        <v>0</v>
      </c>
      <c r="AD28" s="733">
        <f t="shared" si="15"/>
        <v>0</v>
      </c>
      <c r="AE28" s="712"/>
      <c r="AF28" s="711"/>
      <c r="AG28" s="732">
        <f t="shared" si="16"/>
        <v>0</v>
      </c>
      <c r="AH28" s="733">
        <f t="shared" si="17"/>
        <v>0</v>
      </c>
      <c r="AI28" s="712"/>
      <c r="AJ28" s="708"/>
      <c r="AK28" s="733">
        <f t="shared" si="18"/>
        <v>0</v>
      </c>
      <c r="AL28" s="713"/>
    </row>
    <row r="29" spans="2:38" s="528" customFormat="1" ht="32.25" customHeight="1" outlineLevel="1">
      <c r="B29" s="699">
        <f>'Master BOQ Pricing_2018-01-08'!B29</f>
        <v>2.13</v>
      </c>
      <c r="C29" s="700" t="str">
        <f>'Master BOQ Pricing_2018-01-08'!C29</f>
        <v xml:space="preserve">ISP - Excavation and backfilling of trench in normal soil including cutting/asphalt / concrete &gt;100mm thick  (450mm width x 1000mm depth) </v>
      </c>
      <c r="D29" s="727" t="str">
        <f>'Master BOQ Pricing_2018-01-08'!D29</f>
        <v>m</v>
      </c>
      <c r="E29" s="702">
        <f>'Master BOQ Pricing_2018-01-08'!E29</f>
        <v>963</v>
      </c>
      <c r="F29" s="703"/>
      <c r="G29" s="704">
        <f t="shared" si="21"/>
        <v>0</v>
      </c>
      <c r="H29" s="728"/>
      <c r="I29" s="729"/>
      <c r="J29" s="728"/>
      <c r="K29" s="729"/>
      <c r="L29" s="728"/>
      <c r="M29" s="729"/>
      <c r="N29" s="728"/>
      <c r="O29" s="729"/>
      <c r="P29" s="728"/>
      <c r="Q29" s="730"/>
      <c r="R29" s="731"/>
      <c r="S29" s="729"/>
      <c r="T29" s="711"/>
      <c r="U29" s="732">
        <f t="shared" si="19"/>
        <v>0</v>
      </c>
      <c r="V29" s="733">
        <f t="shared" si="20"/>
        <v>0</v>
      </c>
      <c r="W29" s="710"/>
      <c r="X29" s="711"/>
      <c r="Y29" s="732">
        <f t="shared" si="12"/>
        <v>0</v>
      </c>
      <c r="Z29" s="733">
        <f t="shared" si="13"/>
        <v>0</v>
      </c>
      <c r="AA29" s="710"/>
      <c r="AB29" s="711"/>
      <c r="AC29" s="732">
        <f t="shared" si="14"/>
        <v>0</v>
      </c>
      <c r="AD29" s="733">
        <f t="shared" si="15"/>
        <v>0</v>
      </c>
      <c r="AE29" s="712"/>
      <c r="AF29" s="711"/>
      <c r="AG29" s="732">
        <f t="shared" si="16"/>
        <v>0</v>
      </c>
      <c r="AH29" s="733">
        <f t="shared" si="17"/>
        <v>0</v>
      </c>
      <c r="AI29" s="712"/>
      <c r="AJ29" s="708"/>
      <c r="AK29" s="733">
        <f t="shared" si="18"/>
        <v>0</v>
      </c>
      <c r="AL29" s="713"/>
    </row>
    <row r="30" spans="2:38" s="528" customFormat="1" ht="30" customHeight="1" outlineLevel="1">
      <c r="B30" s="699">
        <f>'Master BOQ Pricing_2018-01-08'!B30</f>
        <v>2.14</v>
      </c>
      <c r="C30" s="700" t="str">
        <f>'Master BOQ Pricing_2018-01-08'!C30</f>
        <v xml:space="preserve">ISP - Break (already cut asphalt  or concrete), excavation and backfilling of trench in normal soil including cutting/asphalt / concrete &gt;100mm thick  (300mm width x 400mm depth) </v>
      </c>
      <c r="D30" s="727" t="str">
        <f>'Master BOQ Pricing_2018-01-08'!D30</f>
        <v>m</v>
      </c>
      <c r="E30" s="702">
        <f>'Master BOQ Pricing_2018-01-08'!E30</f>
        <v>31.78</v>
      </c>
      <c r="F30" s="703"/>
      <c r="G30" s="704">
        <f t="shared" ref="G30:G42" si="22">+F30*E30</f>
        <v>0</v>
      </c>
      <c r="H30" s="728"/>
      <c r="I30" s="729"/>
      <c r="J30" s="728"/>
      <c r="K30" s="729"/>
      <c r="L30" s="728"/>
      <c r="M30" s="729"/>
      <c r="N30" s="728"/>
      <c r="O30" s="729"/>
      <c r="P30" s="728"/>
      <c r="Q30" s="730"/>
      <c r="R30" s="731"/>
      <c r="S30" s="729"/>
      <c r="T30" s="711"/>
      <c r="U30" s="732">
        <f t="shared" si="19"/>
        <v>0</v>
      </c>
      <c r="V30" s="733">
        <f t="shared" si="20"/>
        <v>0</v>
      </c>
      <c r="W30" s="710"/>
      <c r="X30" s="711"/>
      <c r="Y30" s="732">
        <f t="shared" si="12"/>
        <v>0</v>
      </c>
      <c r="Z30" s="733">
        <f t="shared" si="13"/>
        <v>0</v>
      </c>
      <c r="AA30" s="710"/>
      <c r="AB30" s="711"/>
      <c r="AC30" s="732">
        <f t="shared" si="14"/>
        <v>0</v>
      </c>
      <c r="AD30" s="733">
        <f t="shared" si="15"/>
        <v>0</v>
      </c>
      <c r="AE30" s="712"/>
      <c r="AF30" s="711"/>
      <c r="AG30" s="732">
        <f t="shared" si="16"/>
        <v>0</v>
      </c>
      <c r="AH30" s="733">
        <f t="shared" si="17"/>
        <v>0</v>
      </c>
      <c r="AI30" s="712"/>
      <c r="AJ30" s="708"/>
      <c r="AK30" s="733">
        <f t="shared" si="18"/>
        <v>0</v>
      </c>
      <c r="AL30" s="713"/>
    </row>
    <row r="31" spans="2:38" s="528" customFormat="1" ht="27.6" outlineLevel="1">
      <c r="B31" s="699">
        <f>'Master BOQ Pricing_2018-01-08'!B31</f>
        <v>2.15</v>
      </c>
      <c r="C31" s="700" t="str">
        <f>'Master BOQ Pricing_2018-01-08'!C31</f>
        <v xml:space="preserve">ISP - Excavation and backfilling of trench including cutting/breaking of vegetation/ Landscaping  450mm width  x 1000mm depth </v>
      </c>
      <c r="D31" s="727" t="str">
        <f>'Master BOQ Pricing_2018-01-08'!D31</f>
        <v>m</v>
      </c>
      <c r="E31" s="702">
        <f>'Master BOQ Pricing_2018-01-08'!E31</f>
        <v>143.57</v>
      </c>
      <c r="F31" s="703"/>
      <c r="G31" s="704">
        <f t="shared" si="22"/>
        <v>0</v>
      </c>
      <c r="H31" s="728"/>
      <c r="I31" s="729"/>
      <c r="J31" s="728"/>
      <c r="K31" s="729"/>
      <c r="L31" s="728"/>
      <c r="M31" s="729"/>
      <c r="N31" s="728"/>
      <c r="O31" s="729"/>
      <c r="P31" s="728"/>
      <c r="Q31" s="730"/>
      <c r="R31" s="731"/>
      <c r="S31" s="729"/>
      <c r="T31" s="711"/>
      <c r="U31" s="732">
        <f t="shared" si="19"/>
        <v>0</v>
      </c>
      <c r="V31" s="733">
        <f t="shared" si="20"/>
        <v>0</v>
      </c>
      <c r="W31" s="710"/>
      <c r="X31" s="711"/>
      <c r="Y31" s="732">
        <f t="shared" si="12"/>
        <v>0</v>
      </c>
      <c r="Z31" s="733">
        <f t="shared" si="13"/>
        <v>0</v>
      </c>
      <c r="AA31" s="710"/>
      <c r="AB31" s="711"/>
      <c r="AC31" s="732">
        <f t="shared" si="14"/>
        <v>0</v>
      </c>
      <c r="AD31" s="733">
        <f t="shared" si="15"/>
        <v>0</v>
      </c>
      <c r="AE31" s="712"/>
      <c r="AF31" s="711"/>
      <c r="AG31" s="732">
        <f t="shared" si="16"/>
        <v>0</v>
      </c>
      <c r="AH31" s="733">
        <f t="shared" si="17"/>
        <v>0</v>
      </c>
      <c r="AI31" s="712"/>
      <c r="AJ31" s="708"/>
      <c r="AK31" s="733">
        <f t="shared" si="18"/>
        <v>0</v>
      </c>
      <c r="AL31" s="713"/>
    </row>
    <row r="32" spans="2:38" s="528" customFormat="1" ht="27.6" outlineLevel="1">
      <c r="B32" s="699">
        <f>'Master BOQ Pricing_2018-01-08'!B32</f>
        <v>2.16</v>
      </c>
      <c r="C32" s="700" t="str">
        <f>'Master BOQ Pricing_2018-01-08'!C32</f>
        <v>ISP - Excavation and backfilling of trench including cutting/breaking of vegetation/ Landscaping  300mm width  x 400mm depth (For access layer / FTTH layer in MDU's)</v>
      </c>
      <c r="D32" s="727" t="str">
        <f>'Master BOQ Pricing_2018-01-08'!D32</f>
        <v>m</v>
      </c>
      <c r="E32" s="702">
        <f>'Master BOQ Pricing_2018-01-08'!E32</f>
        <v>34.200000000000003</v>
      </c>
      <c r="F32" s="703"/>
      <c r="G32" s="704">
        <f t="shared" si="22"/>
        <v>0</v>
      </c>
      <c r="H32" s="728"/>
      <c r="I32" s="729"/>
      <c r="J32" s="728"/>
      <c r="K32" s="729"/>
      <c r="L32" s="728"/>
      <c r="M32" s="729"/>
      <c r="N32" s="728"/>
      <c r="O32" s="729"/>
      <c r="P32" s="728"/>
      <c r="Q32" s="730"/>
      <c r="R32" s="731"/>
      <c r="S32" s="729"/>
      <c r="T32" s="711"/>
      <c r="U32" s="732">
        <f t="shared" si="19"/>
        <v>0</v>
      </c>
      <c r="V32" s="733">
        <f t="shared" si="20"/>
        <v>0</v>
      </c>
      <c r="W32" s="710"/>
      <c r="X32" s="711"/>
      <c r="Y32" s="732">
        <f t="shared" si="12"/>
        <v>0</v>
      </c>
      <c r="Z32" s="733">
        <f t="shared" si="13"/>
        <v>0</v>
      </c>
      <c r="AA32" s="710"/>
      <c r="AB32" s="711"/>
      <c r="AC32" s="732">
        <f t="shared" si="14"/>
        <v>0</v>
      </c>
      <c r="AD32" s="733">
        <f t="shared" si="15"/>
        <v>0</v>
      </c>
      <c r="AE32" s="712"/>
      <c r="AF32" s="711"/>
      <c r="AG32" s="732">
        <f t="shared" si="16"/>
        <v>0</v>
      </c>
      <c r="AH32" s="733">
        <f t="shared" si="17"/>
        <v>0</v>
      </c>
      <c r="AI32" s="712"/>
      <c r="AJ32" s="708"/>
      <c r="AK32" s="733">
        <f t="shared" si="18"/>
        <v>0</v>
      </c>
      <c r="AL32" s="713"/>
    </row>
    <row r="33" spans="2:38" s="527" customFormat="1" ht="33.75" customHeight="1" outlineLevel="1">
      <c r="B33" s="699">
        <f>'Master BOQ Pricing_2018-01-08'!B33</f>
        <v>2.17</v>
      </c>
      <c r="C33" s="700" t="str">
        <f>'Master BOQ Pricing_2018-01-08'!C33</f>
        <v xml:space="preserve">OSP - Excavation and Backfilling of trench in normal soil  Pickable (300 mm width x 700 mm depth) </v>
      </c>
      <c r="D33" s="727" t="str">
        <f>'Master BOQ Pricing_2018-01-08'!D33</f>
        <v>m</v>
      </c>
      <c r="E33" s="702">
        <f>'Master BOQ Pricing_2018-01-08'!E33</f>
        <v>60.23</v>
      </c>
      <c r="F33" s="703"/>
      <c r="G33" s="704">
        <f t="shared" si="22"/>
        <v>0</v>
      </c>
      <c r="H33" s="728"/>
      <c r="I33" s="729"/>
      <c r="J33" s="728"/>
      <c r="K33" s="729"/>
      <c r="L33" s="728"/>
      <c r="M33" s="729"/>
      <c r="N33" s="728"/>
      <c r="O33" s="729"/>
      <c r="P33" s="728"/>
      <c r="Q33" s="730"/>
      <c r="R33" s="731"/>
      <c r="S33" s="729"/>
      <c r="T33" s="711"/>
      <c r="U33" s="732">
        <f t="shared" si="19"/>
        <v>0</v>
      </c>
      <c r="V33" s="733">
        <f t="shared" si="20"/>
        <v>0</v>
      </c>
      <c r="W33" s="710"/>
      <c r="X33" s="711"/>
      <c r="Y33" s="732">
        <f t="shared" si="12"/>
        <v>0</v>
      </c>
      <c r="Z33" s="733">
        <f t="shared" si="13"/>
        <v>0</v>
      </c>
      <c r="AA33" s="710"/>
      <c r="AB33" s="711"/>
      <c r="AC33" s="732">
        <f t="shared" si="14"/>
        <v>0</v>
      </c>
      <c r="AD33" s="733">
        <f t="shared" si="15"/>
        <v>0</v>
      </c>
      <c r="AE33" s="712"/>
      <c r="AF33" s="711"/>
      <c r="AG33" s="732">
        <f t="shared" si="16"/>
        <v>0</v>
      </c>
      <c r="AH33" s="733">
        <f t="shared" si="17"/>
        <v>0</v>
      </c>
      <c r="AI33" s="712"/>
      <c r="AJ33" s="708"/>
      <c r="AK33" s="733">
        <f t="shared" si="18"/>
        <v>0</v>
      </c>
      <c r="AL33" s="713"/>
    </row>
    <row r="34" spans="2:38" s="527" customFormat="1" outlineLevel="1">
      <c r="B34" s="699">
        <f>'Master BOQ Pricing_2018-01-08'!B34</f>
        <v>2.1800000000000002</v>
      </c>
      <c r="C34" s="700" t="str">
        <f>'Master BOQ Pricing_2018-01-08'!C34</f>
        <v xml:space="preserve">OSP - Excavation and Backfilling of trench in normal soil  Pickable (450 mm width x 1000 mm depth) </v>
      </c>
      <c r="D34" s="727" t="str">
        <f>'Master BOQ Pricing_2018-01-08'!D34</f>
        <v>m</v>
      </c>
      <c r="E34" s="702">
        <f>'Master BOQ Pricing_2018-01-08'!E34</f>
        <v>129.06</v>
      </c>
      <c r="F34" s="703"/>
      <c r="G34" s="704">
        <f t="shared" si="22"/>
        <v>0</v>
      </c>
      <c r="H34" s="728"/>
      <c r="I34" s="729"/>
      <c r="J34" s="728"/>
      <c r="K34" s="729"/>
      <c r="L34" s="728"/>
      <c r="M34" s="729"/>
      <c r="N34" s="728"/>
      <c r="O34" s="729"/>
      <c r="P34" s="728"/>
      <c r="Q34" s="730"/>
      <c r="R34" s="731"/>
      <c r="S34" s="729"/>
      <c r="T34" s="711"/>
      <c r="U34" s="732">
        <f t="shared" si="19"/>
        <v>0</v>
      </c>
      <c r="V34" s="733">
        <f t="shared" si="20"/>
        <v>0</v>
      </c>
      <c r="W34" s="710"/>
      <c r="X34" s="711"/>
      <c r="Y34" s="732">
        <f t="shared" si="12"/>
        <v>0</v>
      </c>
      <c r="Z34" s="733">
        <f t="shared" si="13"/>
        <v>0</v>
      </c>
      <c r="AA34" s="710"/>
      <c r="AB34" s="711"/>
      <c r="AC34" s="732">
        <f t="shared" si="14"/>
        <v>0</v>
      </c>
      <c r="AD34" s="733">
        <f t="shared" si="15"/>
        <v>0</v>
      </c>
      <c r="AE34" s="712"/>
      <c r="AF34" s="711"/>
      <c r="AG34" s="732">
        <f t="shared" si="16"/>
        <v>0</v>
      </c>
      <c r="AH34" s="733">
        <f t="shared" si="17"/>
        <v>0</v>
      </c>
      <c r="AI34" s="712"/>
      <c r="AJ34" s="708"/>
      <c r="AK34" s="733">
        <f t="shared" si="18"/>
        <v>0</v>
      </c>
      <c r="AL34" s="713"/>
    </row>
    <row r="35" spans="2:38" s="527" customFormat="1" ht="27.6" outlineLevel="1">
      <c r="B35" s="699">
        <f>'Master BOQ Pricing_2018-01-08'!B35</f>
        <v>2.19</v>
      </c>
      <c r="C35" s="700" t="str">
        <f>'Master BOQ Pricing_2018-01-08'!C35</f>
        <v xml:space="preserve">OSP - Applicable to RET Contractors only _ P&amp;Gs: OSP - an additional R5.00 per meter when excavation and backfilling of trench in normal soil pickable (400 mm width x 700 mm depth) </v>
      </c>
      <c r="D35" s="727" t="str">
        <f>'Master BOQ Pricing_2018-01-08'!D35</f>
        <v>m</v>
      </c>
      <c r="E35" s="702">
        <f>'Master BOQ Pricing_2018-01-08'!E35</f>
        <v>5</v>
      </c>
      <c r="F35" s="703"/>
      <c r="G35" s="704">
        <f t="shared" si="22"/>
        <v>0</v>
      </c>
      <c r="H35" s="728"/>
      <c r="I35" s="729"/>
      <c r="J35" s="728"/>
      <c r="K35" s="729"/>
      <c r="L35" s="728"/>
      <c r="M35" s="729"/>
      <c r="N35" s="728"/>
      <c r="O35" s="729"/>
      <c r="P35" s="728"/>
      <c r="Q35" s="730"/>
      <c r="R35" s="731"/>
      <c r="S35" s="729"/>
      <c r="T35" s="711"/>
      <c r="U35" s="732">
        <f t="shared" si="19"/>
        <v>0</v>
      </c>
      <c r="V35" s="733">
        <f t="shared" si="20"/>
        <v>0</v>
      </c>
      <c r="W35" s="710"/>
      <c r="X35" s="711"/>
      <c r="Y35" s="732">
        <f t="shared" si="12"/>
        <v>0</v>
      </c>
      <c r="Z35" s="733">
        <f t="shared" si="13"/>
        <v>0</v>
      </c>
      <c r="AA35" s="710"/>
      <c r="AB35" s="711"/>
      <c r="AC35" s="732">
        <f t="shared" si="14"/>
        <v>0</v>
      </c>
      <c r="AD35" s="733">
        <f t="shared" si="15"/>
        <v>0</v>
      </c>
      <c r="AE35" s="712"/>
      <c r="AF35" s="711"/>
      <c r="AG35" s="732">
        <f t="shared" si="16"/>
        <v>0</v>
      </c>
      <c r="AH35" s="733">
        <f t="shared" si="17"/>
        <v>0</v>
      </c>
      <c r="AI35" s="712"/>
      <c r="AJ35" s="708"/>
      <c r="AK35" s="733">
        <f t="shared" si="18"/>
        <v>0</v>
      </c>
      <c r="AL35" s="713"/>
    </row>
    <row r="36" spans="2:38" s="527" customFormat="1" ht="27.6" outlineLevel="1">
      <c r="B36" s="699">
        <f>'Master BOQ Pricing_2018-01-08'!B36</f>
        <v>2.2000000000000002</v>
      </c>
      <c r="C36" s="700" t="str">
        <f>'Master BOQ Pricing_2018-01-08'!C36</f>
        <v>OSP - Excavation and backfilling of trench in normal soil - 300mm width x  400mm depth including trench covered by ≤ 100mm of asphalt  or concrete (Pickable 18Mpa) (For access layer/FTTH layer in estates or complexes)</v>
      </c>
      <c r="D36" s="727" t="str">
        <f>'Master BOQ Pricing_2018-01-08'!D36</f>
        <v>m</v>
      </c>
      <c r="E36" s="702">
        <f>'Master BOQ Pricing_2018-01-08'!E36</f>
        <v>81.2</v>
      </c>
      <c r="F36" s="703"/>
      <c r="G36" s="704">
        <f t="shared" si="22"/>
        <v>0</v>
      </c>
      <c r="H36" s="728"/>
      <c r="I36" s="729"/>
      <c r="J36" s="728"/>
      <c r="K36" s="729"/>
      <c r="L36" s="728"/>
      <c r="M36" s="729"/>
      <c r="N36" s="728"/>
      <c r="O36" s="729"/>
      <c r="P36" s="728"/>
      <c r="Q36" s="730"/>
      <c r="R36" s="731"/>
      <c r="S36" s="729"/>
      <c r="T36" s="711"/>
      <c r="U36" s="732">
        <f t="shared" si="19"/>
        <v>0</v>
      </c>
      <c r="V36" s="733">
        <f t="shared" si="20"/>
        <v>0</v>
      </c>
      <c r="W36" s="710"/>
      <c r="X36" s="711"/>
      <c r="Y36" s="732">
        <f t="shared" si="12"/>
        <v>0</v>
      </c>
      <c r="Z36" s="733">
        <f t="shared" si="13"/>
        <v>0</v>
      </c>
      <c r="AA36" s="710"/>
      <c r="AB36" s="711"/>
      <c r="AC36" s="732">
        <f t="shared" si="14"/>
        <v>0</v>
      </c>
      <c r="AD36" s="733">
        <f t="shared" si="15"/>
        <v>0</v>
      </c>
      <c r="AE36" s="712"/>
      <c r="AF36" s="711"/>
      <c r="AG36" s="732">
        <f t="shared" si="16"/>
        <v>0</v>
      </c>
      <c r="AH36" s="733">
        <f t="shared" si="17"/>
        <v>0</v>
      </c>
      <c r="AI36" s="712"/>
      <c r="AJ36" s="708"/>
      <c r="AK36" s="733">
        <f t="shared" si="18"/>
        <v>0</v>
      </c>
      <c r="AL36" s="713"/>
    </row>
    <row r="37" spans="2:38" s="527" customFormat="1" ht="27.6" outlineLevel="1">
      <c r="B37" s="699">
        <f>'Master BOQ Pricing_2018-01-08'!B37</f>
        <v>2.21</v>
      </c>
      <c r="C37" s="700" t="str">
        <f>'Master BOQ Pricing_2018-01-08'!C37</f>
        <v xml:space="preserve">OSP - Excavation and backfilling of trench in normal soil - 300mm width x 700mm depth including trench covered by ≤  100mm of asphalt  or concrete (Pickable 18Mpa) </v>
      </c>
      <c r="D37" s="727" t="str">
        <f>'Master BOQ Pricing_2018-01-08'!D37</f>
        <v>m</v>
      </c>
      <c r="E37" s="702">
        <f>'Master BOQ Pricing_2018-01-08'!E37</f>
        <v>121.36</v>
      </c>
      <c r="F37" s="703"/>
      <c r="G37" s="704">
        <f t="shared" si="22"/>
        <v>0</v>
      </c>
      <c r="H37" s="728"/>
      <c r="I37" s="729"/>
      <c r="J37" s="728"/>
      <c r="K37" s="729"/>
      <c r="L37" s="728"/>
      <c r="M37" s="729"/>
      <c r="N37" s="728"/>
      <c r="O37" s="729"/>
      <c r="P37" s="728"/>
      <c r="Q37" s="730"/>
      <c r="R37" s="731"/>
      <c r="S37" s="729"/>
      <c r="T37" s="711"/>
      <c r="U37" s="732">
        <f t="shared" si="19"/>
        <v>0</v>
      </c>
      <c r="V37" s="733">
        <f t="shared" si="20"/>
        <v>0</v>
      </c>
      <c r="W37" s="710"/>
      <c r="X37" s="711"/>
      <c r="Y37" s="732">
        <f t="shared" si="12"/>
        <v>0</v>
      </c>
      <c r="Z37" s="733">
        <f t="shared" si="13"/>
        <v>0</v>
      </c>
      <c r="AA37" s="710"/>
      <c r="AB37" s="711"/>
      <c r="AC37" s="732">
        <f t="shared" si="14"/>
        <v>0</v>
      </c>
      <c r="AD37" s="733">
        <f t="shared" si="15"/>
        <v>0</v>
      </c>
      <c r="AE37" s="712"/>
      <c r="AF37" s="711"/>
      <c r="AG37" s="732">
        <f t="shared" si="16"/>
        <v>0</v>
      </c>
      <c r="AH37" s="733">
        <f t="shared" si="17"/>
        <v>0</v>
      </c>
      <c r="AI37" s="712"/>
      <c r="AJ37" s="708"/>
      <c r="AK37" s="733">
        <f t="shared" si="18"/>
        <v>0</v>
      </c>
      <c r="AL37" s="713"/>
    </row>
    <row r="38" spans="2:38" s="527" customFormat="1" ht="27.6" outlineLevel="1">
      <c r="B38" s="699">
        <f>'Master BOQ Pricing_2018-01-08'!B38</f>
        <v>2.2200000000000002</v>
      </c>
      <c r="C38" s="700" t="str">
        <f>'Master BOQ Pricing_2018-01-08'!C38</f>
        <v xml:space="preserve">OSP - Excavation and backfilling of trench in normal soil - 450mm width x 1000mm depth including trench covered by ≤  100mm of asphalt  or concrete (Pickable 18Mpa) </v>
      </c>
      <c r="D38" s="727" t="str">
        <f>'Master BOQ Pricing_2018-01-08'!D38</f>
        <v>m</v>
      </c>
      <c r="E38" s="702">
        <f>'Master BOQ Pricing_2018-01-08'!E38</f>
        <v>260.06</v>
      </c>
      <c r="F38" s="703"/>
      <c r="G38" s="704">
        <f t="shared" si="22"/>
        <v>0</v>
      </c>
      <c r="H38" s="728"/>
      <c r="I38" s="729"/>
      <c r="J38" s="728"/>
      <c r="K38" s="729"/>
      <c r="L38" s="728"/>
      <c r="M38" s="729"/>
      <c r="N38" s="728"/>
      <c r="O38" s="729"/>
      <c r="P38" s="728"/>
      <c r="Q38" s="730"/>
      <c r="R38" s="731"/>
      <c r="S38" s="729"/>
      <c r="T38" s="711"/>
      <c r="U38" s="732">
        <f t="shared" si="19"/>
        <v>0</v>
      </c>
      <c r="V38" s="733">
        <f t="shared" si="20"/>
        <v>0</v>
      </c>
      <c r="W38" s="710"/>
      <c r="X38" s="711"/>
      <c r="Y38" s="732">
        <f t="shared" si="12"/>
        <v>0</v>
      </c>
      <c r="Z38" s="733">
        <f t="shared" si="13"/>
        <v>0</v>
      </c>
      <c r="AA38" s="710"/>
      <c r="AB38" s="711"/>
      <c r="AC38" s="732">
        <f t="shared" si="14"/>
        <v>0</v>
      </c>
      <c r="AD38" s="733">
        <f t="shared" si="15"/>
        <v>0</v>
      </c>
      <c r="AE38" s="712"/>
      <c r="AF38" s="711"/>
      <c r="AG38" s="732">
        <f t="shared" si="16"/>
        <v>0</v>
      </c>
      <c r="AH38" s="733">
        <f t="shared" si="17"/>
        <v>0</v>
      </c>
      <c r="AI38" s="712"/>
      <c r="AJ38" s="708"/>
      <c r="AK38" s="733">
        <f t="shared" si="18"/>
        <v>0</v>
      </c>
      <c r="AL38" s="713"/>
    </row>
    <row r="39" spans="2:38" s="527" customFormat="1" ht="27.6" outlineLevel="1">
      <c r="B39" s="699">
        <f>'Master BOQ Pricing_2018-01-08'!B39</f>
        <v>2.23</v>
      </c>
      <c r="C39" s="700" t="str">
        <f>'Master BOQ Pricing_2018-01-08'!C39</f>
        <v>OSP - Break (already cut asphalt or concrete), excavation and backfilling of trench in normal soil 400mm width x 700mm depth including trench covered by ≤  100mm of asphalt or concrete (Pickable 18Mpa)</v>
      </c>
      <c r="D39" s="727" t="str">
        <f>'Master BOQ Pricing_2018-01-08'!D39</f>
        <v>m</v>
      </c>
      <c r="E39" s="702">
        <f>'Master BOQ Pricing_2018-01-08'!E39</f>
        <v>70.63</v>
      </c>
      <c r="F39" s="703"/>
      <c r="G39" s="704">
        <f t="shared" si="22"/>
        <v>0</v>
      </c>
      <c r="H39" s="728"/>
      <c r="I39" s="729"/>
      <c r="J39" s="728"/>
      <c r="K39" s="729"/>
      <c r="L39" s="728"/>
      <c r="M39" s="729"/>
      <c r="N39" s="728"/>
      <c r="O39" s="729"/>
      <c r="P39" s="728"/>
      <c r="Q39" s="730"/>
      <c r="R39" s="731"/>
      <c r="S39" s="729"/>
      <c r="T39" s="711"/>
      <c r="U39" s="732">
        <f t="shared" si="19"/>
        <v>0</v>
      </c>
      <c r="V39" s="733">
        <f t="shared" si="20"/>
        <v>0</v>
      </c>
      <c r="W39" s="710"/>
      <c r="X39" s="711"/>
      <c r="Y39" s="732">
        <f t="shared" si="12"/>
        <v>0</v>
      </c>
      <c r="Z39" s="733">
        <f t="shared" si="13"/>
        <v>0</v>
      </c>
      <c r="AA39" s="710"/>
      <c r="AB39" s="711"/>
      <c r="AC39" s="732">
        <f t="shared" si="14"/>
        <v>0</v>
      </c>
      <c r="AD39" s="733">
        <f t="shared" si="15"/>
        <v>0</v>
      </c>
      <c r="AE39" s="712"/>
      <c r="AF39" s="711"/>
      <c r="AG39" s="732">
        <f t="shared" si="16"/>
        <v>0</v>
      </c>
      <c r="AH39" s="733">
        <f t="shared" si="17"/>
        <v>0</v>
      </c>
      <c r="AI39" s="712"/>
      <c r="AJ39" s="708"/>
      <c r="AK39" s="733">
        <f t="shared" si="18"/>
        <v>0</v>
      </c>
      <c r="AL39" s="713"/>
    </row>
    <row r="40" spans="2:38" s="527" customFormat="1" ht="27.6" outlineLevel="1">
      <c r="B40" s="699">
        <f>'Master BOQ Pricing_2018-01-08'!B40</f>
        <v>2.2400000000000002</v>
      </c>
      <c r="C40" s="700" t="str">
        <f>'Master BOQ Pricing_2018-01-08'!C40</f>
        <v>OSP - Break (already cut asphalt or concrete), excavation and backfilling of trench in normal soil 450mm width x 1000mm depth including trench covered by ≤  100mm of asphalt or concrete (Pickable 18Mpa)</v>
      </c>
      <c r="D40" s="727" t="str">
        <f>'Master BOQ Pricing_2018-01-08'!D40</f>
        <v>m</v>
      </c>
      <c r="E40" s="702">
        <f>'Master BOQ Pricing_2018-01-08'!E40</f>
        <v>132.43</v>
      </c>
      <c r="F40" s="703"/>
      <c r="G40" s="704">
        <f t="shared" si="22"/>
        <v>0</v>
      </c>
      <c r="H40" s="728"/>
      <c r="I40" s="729"/>
      <c r="J40" s="728"/>
      <c r="K40" s="729"/>
      <c r="L40" s="728"/>
      <c r="M40" s="729"/>
      <c r="N40" s="728"/>
      <c r="O40" s="729"/>
      <c r="P40" s="728"/>
      <c r="Q40" s="730"/>
      <c r="R40" s="731"/>
      <c r="S40" s="729"/>
      <c r="T40" s="711"/>
      <c r="U40" s="732">
        <f t="shared" si="19"/>
        <v>0</v>
      </c>
      <c r="V40" s="733">
        <f t="shared" si="20"/>
        <v>0</v>
      </c>
      <c r="W40" s="710"/>
      <c r="X40" s="711"/>
      <c r="Y40" s="732">
        <f t="shared" si="12"/>
        <v>0</v>
      </c>
      <c r="Z40" s="733">
        <f t="shared" si="13"/>
        <v>0</v>
      </c>
      <c r="AA40" s="710"/>
      <c r="AB40" s="711"/>
      <c r="AC40" s="732">
        <f t="shared" si="14"/>
        <v>0</v>
      </c>
      <c r="AD40" s="733">
        <f t="shared" si="15"/>
        <v>0</v>
      </c>
      <c r="AE40" s="712"/>
      <c r="AF40" s="711"/>
      <c r="AG40" s="732">
        <f t="shared" si="16"/>
        <v>0</v>
      </c>
      <c r="AH40" s="733">
        <f t="shared" si="17"/>
        <v>0</v>
      </c>
      <c r="AI40" s="712"/>
      <c r="AJ40" s="708"/>
      <c r="AK40" s="733">
        <f t="shared" si="18"/>
        <v>0</v>
      </c>
      <c r="AL40" s="713"/>
    </row>
    <row r="41" spans="2:38" s="527" customFormat="1" ht="27.6" outlineLevel="1">
      <c r="B41" s="699">
        <f>'Master BOQ Pricing_2018-01-08'!B41</f>
        <v>2.25</v>
      </c>
      <c r="C41" s="700" t="str">
        <f>'Master BOQ Pricing_2018-01-08'!C41</f>
        <v xml:space="preserve">OSP - Excavation and backfilling of trench in normal soil including cutting/asphalt / concrete &gt;100mm thick (300mm width x 800mm  depth) </v>
      </c>
      <c r="D41" s="727" t="str">
        <f>'Master BOQ Pricing_2018-01-08'!D41</f>
        <v>m</v>
      </c>
      <c r="E41" s="702">
        <f>'Master BOQ Pricing_2018-01-08'!E41</f>
        <v>273.60000000000002</v>
      </c>
      <c r="F41" s="703"/>
      <c r="G41" s="704">
        <f t="shared" si="22"/>
        <v>0</v>
      </c>
      <c r="H41" s="728"/>
      <c r="I41" s="729"/>
      <c r="J41" s="728"/>
      <c r="K41" s="729"/>
      <c r="L41" s="728"/>
      <c r="M41" s="729"/>
      <c r="N41" s="728"/>
      <c r="O41" s="729"/>
      <c r="P41" s="728"/>
      <c r="Q41" s="730"/>
      <c r="R41" s="731"/>
      <c r="S41" s="729"/>
      <c r="T41" s="711"/>
      <c r="U41" s="732">
        <f t="shared" si="19"/>
        <v>0</v>
      </c>
      <c r="V41" s="733">
        <f t="shared" si="20"/>
        <v>0</v>
      </c>
      <c r="W41" s="710"/>
      <c r="X41" s="711"/>
      <c r="Y41" s="732">
        <f t="shared" si="12"/>
        <v>0</v>
      </c>
      <c r="Z41" s="733">
        <f t="shared" si="13"/>
        <v>0</v>
      </c>
      <c r="AA41" s="710"/>
      <c r="AB41" s="711"/>
      <c r="AC41" s="732">
        <f t="shared" si="14"/>
        <v>0</v>
      </c>
      <c r="AD41" s="733">
        <f t="shared" si="15"/>
        <v>0</v>
      </c>
      <c r="AE41" s="712"/>
      <c r="AF41" s="711"/>
      <c r="AG41" s="732">
        <f t="shared" si="16"/>
        <v>0</v>
      </c>
      <c r="AH41" s="733">
        <f t="shared" si="17"/>
        <v>0</v>
      </c>
      <c r="AI41" s="712"/>
      <c r="AJ41" s="708"/>
      <c r="AK41" s="733">
        <f t="shared" si="18"/>
        <v>0</v>
      </c>
      <c r="AL41" s="713"/>
    </row>
    <row r="42" spans="2:38" s="527" customFormat="1" ht="27.6" outlineLevel="1">
      <c r="B42" s="699">
        <f>'Master BOQ Pricing_2018-01-08'!B42</f>
        <v>2.2599999999999998</v>
      </c>
      <c r="C42" s="700" t="str">
        <f>'Master BOQ Pricing_2018-01-08'!C42</f>
        <v xml:space="preserve">OSP - Excavation and backfilling of trench in normal soil including cutting/asphalt / concrete &gt;100mm thick (450mm width x 1000mm  depth) </v>
      </c>
      <c r="D42" s="727" t="str">
        <f>'Master BOQ Pricing_2018-01-08'!D42</f>
        <v>m</v>
      </c>
      <c r="E42" s="702">
        <f>'Master BOQ Pricing_2018-01-08'!E42</f>
        <v>513</v>
      </c>
      <c r="F42" s="703"/>
      <c r="G42" s="704">
        <f t="shared" si="22"/>
        <v>0</v>
      </c>
      <c r="H42" s="728"/>
      <c r="I42" s="729"/>
      <c r="J42" s="728"/>
      <c r="K42" s="729"/>
      <c r="L42" s="728"/>
      <c r="M42" s="729"/>
      <c r="N42" s="728"/>
      <c r="O42" s="729"/>
      <c r="P42" s="728"/>
      <c r="Q42" s="730"/>
      <c r="R42" s="731"/>
      <c r="S42" s="729"/>
      <c r="T42" s="711"/>
      <c r="U42" s="732">
        <f t="shared" si="19"/>
        <v>0</v>
      </c>
      <c r="V42" s="733">
        <f t="shared" si="20"/>
        <v>0</v>
      </c>
      <c r="W42" s="710"/>
      <c r="X42" s="711"/>
      <c r="Y42" s="732">
        <f t="shared" si="12"/>
        <v>0</v>
      </c>
      <c r="Z42" s="733">
        <f t="shared" si="13"/>
        <v>0</v>
      </c>
      <c r="AA42" s="710"/>
      <c r="AB42" s="711"/>
      <c r="AC42" s="732">
        <f t="shared" si="14"/>
        <v>0</v>
      </c>
      <c r="AD42" s="733">
        <f t="shared" si="15"/>
        <v>0</v>
      </c>
      <c r="AE42" s="712"/>
      <c r="AF42" s="711"/>
      <c r="AG42" s="732">
        <f t="shared" si="16"/>
        <v>0</v>
      </c>
      <c r="AH42" s="733">
        <f t="shared" si="17"/>
        <v>0</v>
      </c>
      <c r="AI42" s="712"/>
      <c r="AJ42" s="708"/>
      <c r="AK42" s="733">
        <f t="shared" si="18"/>
        <v>0</v>
      </c>
      <c r="AL42" s="713"/>
    </row>
    <row r="43" spans="2:38" s="527" customFormat="1" ht="27.6" outlineLevel="1">
      <c r="B43" s="699">
        <f>'Master BOQ Pricing_2018-01-08'!B43</f>
        <v>2.27</v>
      </c>
      <c r="C43" s="700" t="str">
        <f>'Master BOQ Pricing_2018-01-08'!C43</f>
        <v>OSP - Break (already cut asphalt or concrete), excavation and backfilling of trench in normal soil 400mm width x 700mm depth including trench covered by &gt;100mm of asphalt or concrete (Pickable 18Mpa)</v>
      </c>
      <c r="D43" s="727" t="str">
        <f>'Master BOQ Pricing_2018-01-08'!D43</f>
        <v>m</v>
      </c>
      <c r="E43" s="702">
        <f>'Master BOQ Pricing_2018-01-08'!E43</f>
        <v>84.75</v>
      </c>
      <c r="F43" s="703"/>
      <c r="G43" s="704">
        <f t="shared" ref="G43:G49" si="23">+F43*E43</f>
        <v>0</v>
      </c>
      <c r="H43" s="728"/>
      <c r="I43" s="729"/>
      <c r="J43" s="728"/>
      <c r="K43" s="729"/>
      <c r="L43" s="728"/>
      <c r="M43" s="729"/>
      <c r="N43" s="728"/>
      <c r="O43" s="729"/>
      <c r="P43" s="728"/>
      <c r="Q43" s="730"/>
      <c r="R43" s="731"/>
      <c r="S43" s="729"/>
      <c r="T43" s="711"/>
      <c r="U43" s="732">
        <f t="shared" si="19"/>
        <v>0</v>
      </c>
      <c r="V43" s="733">
        <f t="shared" si="20"/>
        <v>0</v>
      </c>
      <c r="W43" s="710"/>
      <c r="X43" s="711"/>
      <c r="Y43" s="732">
        <f t="shared" si="12"/>
        <v>0</v>
      </c>
      <c r="Z43" s="733">
        <f t="shared" si="13"/>
        <v>0</v>
      </c>
      <c r="AA43" s="710"/>
      <c r="AB43" s="711"/>
      <c r="AC43" s="732">
        <f t="shared" si="14"/>
        <v>0</v>
      </c>
      <c r="AD43" s="733">
        <f t="shared" si="15"/>
        <v>0</v>
      </c>
      <c r="AE43" s="712"/>
      <c r="AF43" s="711"/>
      <c r="AG43" s="732">
        <f t="shared" si="16"/>
        <v>0</v>
      </c>
      <c r="AH43" s="733">
        <f t="shared" si="17"/>
        <v>0</v>
      </c>
      <c r="AI43" s="712"/>
      <c r="AJ43" s="708"/>
      <c r="AK43" s="733">
        <f t="shared" si="18"/>
        <v>0</v>
      </c>
      <c r="AL43" s="713"/>
    </row>
    <row r="44" spans="2:38" s="527" customFormat="1" ht="27.6" outlineLevel="1">
      <c r="B44" s="699">
        <f>'Master BOQ Pricing_2018-01-08'!B44</f>
        <v>2.2799999999999998</v>
      </c>
      <c r="C44" s="700" t="str">
        <f>'Master BOQ Pricing_2018-01-08'!C44</f>
        <v>OSP - Break (already cut asphalt or concrete), excavation and backfilling of trench in normal soil 450mm width x 1000mm depth including trench covered by &gt;100mm of asphalt or concrete (Pickable 18Mpa)</v>
      </c>
      <c r="D44" s="727" t="str">
        <f>'Master BOQ Pricing_2018-01-08'!D44</f>
        <v>m</v>
      </c>
      <c r="E44" s="702">
        <f>'Master BOQ Pricing_2018-01-08'!E44</f>
        <v>158.91</v>
      </c>
      <c r="F44" s="703"/>
      <c r="G44" s="704">
        <f t="shared" si="23"/>
        <v>0</v>
      </c>
      <c r="H44" s="728"/>
      <c r="I44" s="729"/>
      <c r="J44" s="728"/>
      <c r="K44" s="729"/>
      <c r="L44" s="728"/>
      <c r="M44" s="729"/>
      <c r="N44" s="728"/>
      <c r="O44" s="729"/>
      <c r="P44" s="728"/>
      <c r="Q44" s="730"/>
      <c r="R44" s="731"/>
      <c r="S44" s="729"/>
      <c r="T44" s="711"/>
      <c r="U44" s="732">
        <f t="shared" si="19"/>
        <v>0</v>
      </c>
      <c r="V44" s="733">
        <f t="shared" si="20"/>
        <v>0</v>
      </c>
      <c r="W44" s="710"/>
      <c r="X44" s="711"/>
      <c r="Y44" s="732">
        <f t="shared" si="12"/>
        <v>0</v>
      </c>
      <c r="Z44" s="733">
        <f t="shared" si="13"/>
        <v>0</v>
      </c>
      <c r="AA44" s="710"/>
      <c r="AB44" s="711"/>
      <c r="AC44" s="732">
        <f t="shared" si="14"/>
        <v>0</v>
      </c>
      <c r="AD44" s="733">
        <f t="shared" si="15"/>
        <v>0</v>
      </c>
      <c r="AE44" s="712"/>
      <c r="AF44" s="711"/>
      <c r="AG44" s="732">
        <f t="shared" si="16"/>
        <v>0</v>
      </c>
      <c r="AH44" s="733">
        <f t="shared" si="17"/>
        <v>0</v>
      </c>
      <c r="AI44" s="712"/>
      <c r="AJ44" s="708"/>
      <c r="AK44" s="733">
        <f t="shared" si="18"/>
        <v>0</v>
      </c>
      <c r="AL44" s="713"/>
    </row>
    <row r="45" spans="2:38" s="527" customFormat="1" ht="27.6" outlineLevel="1">
      <c r="B45" s="924">
        <f>'Master BOQ Pricing_2018-01-08'!B45</f>
        <v>2.29</v>
      </c>
      <c r="C45" s="700" t="str">
        <f>'Master BOQ Pricing_2018-01-08'!C45</f>
        <v>OSP - Break, excavation and backfilling of trench in hard soil (Mechanical tools required) (450mm width x 1000mm depth)</v>
      </c>
      <c r="D45" s="727" t="str">
        <f>'Master BOQ Pricing_2018-01-08'!D45</f>
        <v>m</v>
      </c>
      <c r="E45" s="702">
        <f>'Master BOQ Pricing_2018-01-08'!E45</f>
        <v>158.91</v>
      </c>
      <c r="F45" s="703"/>
      <c r="G45" s="704">
        <f t="shared" ref="G45" si="24">+F45*E45</f>
        <v>0</v>
      </c>
      <c r="H45" s="728"/>
      <c r="I45" s="729"/>
      <c r="J45" s="728"/>
      <c r="K45" s="729"/>
      <c r="L45" s="728"/>
      <c r="M45" s="729"/>
      <c r="N45" s="728"/>
      <c r="O45" s="729"/>
      <c r="P45" s="728"/>
      <c r="Q45" s="730"/>
      <c r="R45" s="731"/>
      <c r="S45" s="729"/>
      <c r="T45" s="711"/>
      <c r="U45" s="732">
        <f t="shared" ref="U45" si="25">T45+F45</f>
        <v>0</v>
      </c>
      <c r="V45" s="733">
        <f t="shared" ref="V45" si="26">U45*E45</f>
        <v>0</v>
      </c>
      <c r="W45" s="710"/>
      <c r="X45" s="711"/>
      <c r="Y45" s="732">
        <f t="shared" ref="Y45" si="27">X45+U45</f>
        <v>0</v>
      </c>
      <c r="Z45" s="733">
        <f t="shared" ref="Z45" si="28">Y45*E45</f>
        <v>0</v>
      </c>
      <c r="AA45" s="710"/>
      <c r="AB45" s="711"/>
      <c r="AC45" s="732">
        <f t="shared" ref="AC45" si="29">AB45+Y45</f>
        <v>0</v>
      </c>
      <c r="AD45" s="733">
        <f t="shared" ref="AD45" si="30">AC45*E45</f>
        <v>0</v>
      </c>
      <c r="AE45" s="710"/>
      <c r="AF45" s="711"/>
      <c r="AG45" s="732">
        <f t="shared" ref="AG45" si="31">AF45+AC45</f>
        <v>0</v>
      </c>
      <c r="AH45" s="733">
        <f t="shared" ref="AH45" si="32">AG45*E45</f>
        <v>0</v>
      </c>
      <c r="AI45" s="710"/>
      <c r="AJ45" s="708"/>
      <c r="AK45" s="733">
        <f t="shared" ref="AK45" si="33">AJ45*E45</f>
        <v>0</v>
      </c>
      <c r="AL45" s="713"/>
    </row>
    <row r="46" spans="2:38" s="527" customFormat="1" ht="27.6" outlineLevel="1">
      <c r="B46" s="924">
        <f>'Master BOQ Pricing_2018-01-08'!B46</f>
        <v>2.2999999999999998</v>
      </c>
      <c r="C46" s="700" t="str">
        <f>'Master BOQ Pricing_2018-01-08'!C46</f>
        <v>OSP - Break, excavation and backfilling of trench including cutting/breaking of vegetation/ Landscaping in hard soil (Mechanical tools required) (450mm width  x 1000mm depth)</v>
      </c>
      <c r="D46" s="727" t="str">
        <f>'Master BOQ Pricing_2018-01-08'!D46</f>
        <v>m</v>
      </c>
      <c r="E46" s="702">
        <f>'Master BOQ Pricing_2018-01-08'!E46</f>
        <v>161.94999999999999</v>
      </c>
      <c r="F46" s="703"/>
      <c r="G46" s="704">
        <f t="shared" ref="G46" si="34">+F46*E46</f>
        <v>0</v>
      </c>
      <c r="H46" s="728"/>
      <c r="I46" s="729"/>
      <c r="J46" s="728"/>
      <c r="K46" s="729"/>
      <c r="L46" s="728"/>
      <c r="M46" s="729"/>
      <c r="N46" s="728"/>
      <c r="O46" s="729"/>
      <c r="P46" s="728"/>
      <c r="Q46" s="730"/>
      <c r="R46" s="731"/>
      <c r="S46" s="729"/>
      <c r="T46" s="711"/>
      <c r="U46" s="732">
        <f t="shared" ref="U46" si="35">T46+F46</f>
        <v>0</v>
      </c>
      <c r="V46" s="733">
        <f t="shared" ref="V46" si="36">U46*E46</f>
        <v>0</v>
      </c>
      <c r="W46" s="710"/>
      <c r="X46" s="711"/>
      <c r="Y46" s="732">
        <f t="shared" ref="Y46" si="37">X46+U46</f>
        <v>0</v>
      </c>
      <c r="Z46" s="733">
        <f t="shared" ref="Z46" si="38">Y46*E46</f>
        <v>0</v>
      </c>
      <c r="AA46" s="710"/>
      <c r="AB46" s="711"/>
      <c r="AC46" s="732">
        <f t="shared" ref="AC46" si="39">AB46+Y46</f>
        <v>0</v>
      </c>
      <c r="AD46" s="733">
        <f t="shared" ref="AD46" si="40">AC46*E46</f>
        <v>0</v>
      </c>
      <c r="AE46" s="710"/>
      <c r="AF46" s="711"/>
      <c r="AG46" s="732">
        <f t="shared" ref="AG46" si="41">AF46+AC46</f>
        <v>0</v>
      </c>
      <c r="AH46" s="733">
        <f t="shared" ref="AH46" si="42">AG46*E46</f>
        <v>0</v>
      </c>
      <c r="AI46" s="710"/>
      <c r="AJ46" s="708"/>
      <c r="AK46" s="733">
        <f t="shared" ref="AK46" si="43">AJ46*E46</f>
        <v>0</v>
      </c>
      <c r="AL46" s="713"/>
    </row>
    <row r="47" spans="2:38" s="527" customFormat="1" ht="27.6" outlineLevel="1">
      <c r="B47" s="699">
        <f>'Master BOQ Pricing_2018-01-08'!B47</f>
        <v>2.31</v>
      </c>
      <c r="C47" s="700" t="str">
        <f>'Master BOQ Pricing_2018-01-08'!C47</f>
        <v>OSP - Excavation and backfilling of trench including cutting/breaking of vegetation/ Landscaping  (300mm width  x 700mm depth )</v>
      </c>
      <c r="D47" s="727" t="str">
        <f>'Master BOQ Pricing_2018-01-08'!D47</f>
        <v>m</v>
      </c>
      <c r="E47" s="702">
        <f>'Master BOQ Pricing_2018-01-08'!E47</f>
        <v>67</v>
      </c>
      <c r="F47" s="703"/>
      <c r="G47" s="704">
        <f t="shared" si="23"/>
        <v>0</v>
      </c>
      <c r="H47" s="728"/>
      <c r="I47" s="729"/>
      <c r="J47" s="728"/>
      <c r="K47" s="729"/>
      <c r="L47" s="728"/>
      <c r="M47" s="729"/>
      <c r="N47" s="728"/>
      <c r="O47" s="729"/>
      <c r="P47" s="728"/>
      <c r="Q47" s="730"/>
      <c r="R47" s="731"/>
      <c r="S47" s="729"/>
      <c r="T47" s="711"/>
      <c r="U47" s="732">
        <f t="shared" si="19"/>
        <v>0</v>
      </c>
      <c r="V47" s="733">
        <f t="shared" si="20"/>
        <v>0</v>
      </c>
      <c r="W47" s="710"/>
      <c r="X47" s="711"/>
      <c r="Y47" s="732">
        <f t="shared" si="12"/>
        <v>0</v>
      </c>
      <c r="Z47" s="733">
        <f t="shared" si="13"/>
        <v>0</v>
      </c>
      <c r="AA47" s="710"/>
      <c r="AB47" s="711"/>
      <c r="AC47" s="732">
        <f t="shared" si="14"/>
        <v>0</v>
      </c>
      <c r="AD47" s="733">
        <f t="shared" si="15"/>
        <v>0</v>
      </c>
      <c r="AE47" s="712"/>
      <c r="AF47" s="711"/>
      <c r="AG47" s="732">
        <f t="shared" si="16"/>
        <v>0</v>
      </c>
      <c r="AH47" s="733">
        <f t="shared" si="17"/>
        <v>0</v>
      </c>
      <c r="AI47" s="712"/>
      <c r="AJ47" s="708"/>
      <c r="AK47" s="733">
        <f t="shared" si="18"/>
        <v>0</v>
      </c>
      <c r="AL47" s="713"/>
    </row>
    <row r="48" spans="2:38" s="527" customFormat="1" ht="27.6" outlineLevel="1">
      <c r="B48" s="699">
        <f>'Master BOQ Pricing_2018-01-08'!B48</f>
        <v>2.3199999999999998</v>
      </c>
      <c r="C48" s="700" t="str">
        <f>'Master BOQ Pricing_2018-01-08'!C48</f>
        <v>OSP - Excavation and backfilling of trench including cutting/breaking of vegetation/ Landscaping  (450mm width  x 1000mm depth)</v>
      </c>
      <c r="D48" s="727" t="str">
        <f>'Master BOQ Pricing_2018-01-08'!D48</f>
        <v>m</v>
      </c>
      <c r="E48" s="702">
        <f>'Master BOQ Pricing_2018-01-08'!E48</f>
        <v>143.57</v>
      </c>
      <c r="F48" s="703"/>
      <c r="G48" s="704">
        <f t="shared" si="23"/>
        <v>0</v>
      </c>
      <c r="H48" s="728"/>
      <c r="I48" s="729"/>
      <c r="J48" s="728"/>
      <c r="K48" s="729"/>
      <c r="L48" s="728"/>
      <c r="M48" s="729"/>
      <c r="N48" s="728"/>
      <c r="O48" s="729"/>
      <c r="P48" s="728"/>
      <c r="Q48" s="730"/>
      <c r="R48" s="731"/>
      <c r="S48" s="729"/>
      <c r="T48" s="711"/>
      <c r="U48" s="732">
        <f t="shared" si="19"/>
        <v>0</v>
      </c>
      <c r="V48" s="733">
        <f t="shared" si="20"/>
        <v>0</v>
      </c>
      <c r="W48" s="710"/>
      <c r="X48" s="711"/>
      <c r="Y48" s="732">
        <f t="shared" si="12"/>
        <v>0</v>
      </c>
      <c r="Z48" s="733">
        <f t="shared" si="13"/>
        <v>0</v>
      </c>
      <c r="AA48" s="710"/>
      <c r="AB48" s="711"/>
      <c r="AC48" s="732">
        <f t="shared" si="14"/>
        <v>0</v>
      </c>
      <c r="AD48" s="733">
        <f t="shared" si="15"/>
        <v>0</v>
      </c>
      <c r="AE48" s="712"/>
      <c r="AF48" s="711"/>
      <c r="AG48" s="732">
        <f t="shared" si="16"/>
        <v>0</v>
      </c>
      <c r="AH48" s="733">
        <f t="shared" si="17"/>
        <v>0</v>
      </c>
      <c r="AI48" s="712"/>
      <c r="AJ48" s="708"/>
      <c r="AK48" s="733">
        <f t="shared" si="18"/>
        <v>0</v>
      </c>
      <c r="AL48" s="713"/>
    </row>
    <row r="49" spans="2:38" s="527" customFormat="1" ht="27.6" outlineLevel="1">
      <c r="B49" s="699">
        <f>'Master BOQ Pricing_2018-01-08'!B49</f>
        <v>2.33</v>
      </c>
      <c r="C49" s="700" t="str">
        <f>'Master BOQ Pricing_2018-01-08'!C49</f>
        <v xml:space="preserve">OSP - Excavation and Backfilling of trench in normal soil  Pickable using a Tractor Loader Backhoe (TLB) (300mm width x 600 to 800mm depth) </v>
      </c>
      <c r="D49" s="727" t="str">
        <f>'Master BOQ Pricing_2018-01-08'!D49</f>
        <v>m</v>
      </c>
      <c r="E49" s="702">
        <f>'Master BOQ Pricing_2018-01-08'!E49</f>
        <v>34.130000000000003</v>
      </c>
      <c r="F49" s="703"/>
      <c r="G49" s="704">
        <f t="shared" si="23"/>
        <v>0</v>
      </c>
      <c r="H49" s="728"/>
      <c r="I49" s="729"/>
      <c r="J49" s="728"/>
      <c r="K49" s="729"/>
      <c r="L49" s="728"/>
      <c r="M49" s="729"/>
      <c r="N49" s="728"/>
      <c r="O49" s="729"/>
      <c r="P49" s="728"/>
      <c r="Q49" s="730"/>
      <c r="R49" s="731"/>
      <c r="S49" s="729"/>
      <c r="T49" s="711"/>
      <c r="U49" s="732">
        <f t="shared" si="19"/>
        <v>0</v>
      </c>
      <c r="V49" s="733">
        <f t="shared" si="20"/>
        <v>0</v>
      </c>
      <c r="W49" s="710"/>
      <c r="X49" s="711"/>
      <c r="Y49" s="732">
        <f t="shared" si="12"/>
        <v>0</v>
      </c>
      <c r="Z49" s="733">
        <f t="shared" si="13"/>
        <v>0</v>
      </c>
      <c r="AA49" s="710"/>
      <c r="AB49" s="711"/>
      <c r="AC49" s="732">
        <f t="shared" si="14"/>
        <v>0</v>
      </c>
      <c r="AD49" s="733">
        <f t="shared" si="15"/>
        <v>0</v>
      </c>
      <c r="AE49" s="712"/>
      <c r="AF49" s="711"/>
      <c r="AG49" s="732">
        <f t="shared" si="16"/>
        <v>0</v>
      </c>
      <c r="AH49" s="733">
        <f t="shared" si="17"/>
        <v>0</v>
      </c>
      <c r="AI49" s="712"/>
      <c r="AJ49" s="708"/>
      <c r="AK49" s="733">
        <f t="shared" si="18"/>
        <v>0</v>
      </c>
      <c r="AL49" s="713"/>
    </row>
    <row r="50" spans="2:38" s="527" customFormat="1" ht="27.6" outlineLevel="1">
      <c r="B50" s="699">
        <f>'Master BOQ Pricing_2018-01-08'!B50</f>
        <v>2.34</v>
      </c>
      <c r="C50" s="700" t="str">
        <f>'Master BOQ Pricing_2018-01-08'!C50</f>
        <v xml:space="preserve">OSP - Excavation and Backfilling of trench in Intermediate soil  using a Tractor Loader Backhoe (TLB) (300mm width x 600 to 800mm depth) </v>
      </c>
      <c r="D50" s="727" t="str">
        <f>'Master BOQ Pricing_2018-01-08'!D50</f>
        <v>m</v>
      </c>
      <c r="E50" s="702">
        <f>'Master BOQ Pricing_2018-01-08'!E50</f>
        <v>50.2</v>
      </c>
      <c r="F50" s="703"/>
      <c r="G50" s="704">
        <f t="shared" ref="G50:G53" si="44">+F50*E50</f>
        <v>0</v>
      </c>
      <c r="H50" s="728"/>
      <c r="I50" s="729"/>
      <c r="J50" s="728"/>
      <c r="K50" s="729"/>
      <c r="L50" s="728"/>
      <c r="M50" s="729"/>
      <c r="N50" s="728"/>
      <c r="O50" s="729"/>
      <c r="P50" s="728"/>
      <c r="Q50" s="730"/>
      <c r="R50" s="731"/>
      <c r="S50" s="729"/>
      <c r="T50" s="711"/>
      <c r="U50" s="732">
        <f t="shared" si="19"/>
        <v>0</v>
      </c>
      <c r="V50" s="733">
        <f t="shared" si="20"/>
        <v>0</v>
      </c>
      <c r="W50" s="710"/>
      <c r="X50" s="711"/>
      <c r="Y50" s="732">
        <f t="shared" si="12"/>
        <v>0</v>
      </c>
      <c r="Z50" s="733">
        <f t="shared" si="13"/>
        <v>0</v>
      </c>
      <c r="AA50" s="710"/>
      <c r="AB50" s="711"/>
      <c r="AC50" s="732">
        <f t="shared" si="14"/>
        <v>0</v>
      </c>
      <c r="AD50" s="733">
        <f t="shared" si="15"/>
        <v>0</v>
      </c>
      <c r="AE50" s="712"/>
      <c r="AF50" s="711"/>
      <c r="AG50" s="732">
        <f t="shared" si="16"/>
        <v>0</v>
      </c>
      <c r="AH50" s="733">
        <f t="shared" si="17"/>
        <v>0</v>
      </c>
      <c r="AI50" s="712"/>
      <c r="AJ50" s="708"/>
      <c r="AK50" s="733">
        <f t="shared" si="18"/>
        <v>0</v>
      </c>
      <c r="AL50" s="713"/>
    </row>
    <row r="51" spans="2:38" s="527" customFormat="1" ht="27.6" outlineLevel="1">
      <c r="B51" s="699">
        <f>'Master BOQ Pricing_2018-01-08'!B51</f>
        <v>2.35</v>
      </c>
      <c r="C51" s="700" t="str">
        <f>'Master BOQ Pricing_2018-01-08'!C51</f>
        <v>OSP - Excavation and Backfilling of trench using a Compact Mechanical Trenching Machine (160mm width x 600 to 800mm depth)</v>
      </c>
      <c r="D51" s="727" t="str">
        <f>'Master BOQ Pricing_2018-01-08'!D51</f>
        <v>m</v>
      </c>
      <c r="E51" s="702">
        <f>'Master BOQ Pricing_2018-01-08'!E51</f>
        <v>24.75</v>
      </c>
      <c r="F51" s="703"/>
      <c r="G51" s="704">
        <f t="shared" si="44"/>
        <v>0</v>
      </c>
      <c r="H51" s="728"/>
      <c r="I51" s="729"/>
      <c r="J51" s="728"/>
      <c r="K51" s="729"/>
      <c r="L51" s="728"/>
      <c r="M51" s="729"/>
      <c r="N51" s="728"/>
      <c r="O51" s="729"/>
      <c r="P51" s="728"/>
      <c r="Q51" s="730"/>
      <c r="R51" s="731"/>
      <c r="S51" s="729"/>
      <c r="T51" s="711"/>
      <c r="U51" s="732">
        <f t="shared" si="19"/>
        <v>0</v>
      </c>
      <c r="V51" s="733">
        <f t="shared" si="20"/>
        <v>0</v>
      </c>
      <c r="W51" s="710"/>
      <c r="X51" s="711"/>
      <c r="Y51" s="732">
        <f t="shared" si="12"/>
        <v>0</v>
      </c>
      <c r="Z51" s="733">
        <f t="shared" si="13"/>
        <v>0</v>
      </c>
      <c r="AA51" s="710"/>
      <c r="AB51" s="711"/>
      <c r="AC51" s="732">
        <f t="shared" si="14"/>
        <v>0</v>
      </c>
      <c r="AD51" s="733">
        <f t="shared" si="15"/>
        <v>0</v>
      </c>
      <c r="AE51" s="712"/>
      <c r="AF51" s="711"/>
      <c r="AG51" s="732">
        <f t="shared" si="16"/>
        <v>0</v>
      </c>
      <c r="AH51" s="733">
        <f t="shared" si="17"/>
        <v>0</v>
      </c>
      <c r="AI51" s="712"/>
      <c r="AJ51" s="708"/>
      <c r="AK51" s="733">
        <f t="shared" si="18"/>
        <v>0</v>
      </c>
      <c r="AL51" s="713"/>
    </row>
    <row r="52" spans="2:38" s="527" customFormat="1" ht="27.6" outlineLevel="1">
      <c r="B52" s="699">
        <f>'Master BOQ Pricing_2018-01-08'!B52</f>
        <v>2.36</v>
      </c>
      <c r="C52" s="700" t="str">
        <f>'Master BOQ Pricing_2018-01-08'!C52</f>
        <v>OSP - Excavation and Backfilling of trench using a Compact Mechanical Trenching Machine including installation of duct in trench (160mm width x 600 to 800mm depth)</v>
      </c>
      <c r="D52" s="727" t="str">
        <f>'Master BOQ Pricing_2018-01-08'!D52</f>
        <v>m</v>
      </c>
      <c r="E52" s="702">
        <f>'Master BOQ Pricing_2018-01-08'!E52</f>
        <v>30.25</v>
      </c>
      <c r="F52" s="703"/>
      <c r="G52" s="704">
        <f t="shared" si="44"/>
        <v>0</v>
      </c>
      <c r="H52" s="728"/>
      <c r="I52" s="729"/>
      <c r="J52" s="728"/>
      <c r="K52" s="729"/>
      <c r="L52" s="728"/>
      <c r="M52" s="729"/>
      <c r="N52" s="728"/>
      <c r="O52" s="729"/>
      <c r="P52" s="728"/>
      <c r="Q52" s="730"/>
      <c r="R52" s="731"/>
      <c r="S52" s="729"/>
      <c r="T52" s="711"/>
      <c r="U52" s="732">
        <f t="shared" si="19"/>
        <v>0</v>
      </c>
      <c r="V52" s="733">
        <f t="shared" si="20"/>
        <v>0</v>
      </c>
      <c r="W52" s="710"/>
      <c r="X52" s="711"/>
      <c r="Y52" s="732">
        <f t="shared" si="12"/>
        <v>0</v>
      </c>
      <c r="Z52" s="733">
        <f t="shared" si="13"/>
        <v>0</v>
      </c>
      <c r="AA52" s="710"/>
      <c r="AB52" s="711"/>
      <c r="AC52" s="732">
        <f t="shared" si="14"/>
        <v>0</v>
      </c>
      <c r="AD52" s="733">
        <f t="shared" si="15"/>
        <v>0</v>
      </c>
      <c r="AE52" s="712"/>
      <c r="AF52" s="711"/>
      <c r="AG52" s="732">
        <f t="shared" si="16"/>
        <v>0</v>
      </c>
      <c r="AH52" s="733">
        <f t="shared" si="17"/>
        <v>0</v>
      </c>
      <c r="AI52" s="712"/>
      <c r="AJ52" s="708"/>
      <c r="AK52" s="733">
        <f t="shared" si="18"/>
        <v>0</v>
      </c>
      <c r="AL52" s="713"/>
    </row>
    <row r="53" spans="2:38" s="527" customFormat="1" ht="28.5" customHeight="1" outlineLevel="1">
      <c r="B53" s="699">
        <f>'Master BOQ Pricing_2018-01-08'!B53</f>
        <v>2.37</v>
      </c>
      <c r="C53" s="700" t="str">
        <f>'Master BOQ Pricing_2018-01-08'!C53</f>
        <v>OSP - Excavation and Backfilling of trench in Intermediate soil using a Compact Mechanical Trenching Machine including installation of duct in trench (160mm width x 600 to 800mm depth)</v>
      </c>
      <c r="D53" s="727" t="str">
        <f>'Master BOQ Pricing_2018-01-08'!D53</f>
        <v>m</v>
      </c>
      <c r="E53" s="702">
        <f>'Master BOQ Pricing_2018-01-08'!E53</f>
        <v>49.5</v>
      </c>
      <c r="F53" s="703"/>
      <c r="G53" s="704">
        <f t="shared" si="44"/>
        <v>0</v>
      </c>
      <c r="H53" s="728"/>
      <c r="I53" s="729"/>
      <c r="J53" s="728"/>
      <c r="K53" s="729"/>
      <c r="L53" s="728"/>
      <c r="M53" s="729"/>
      <c r="N53" s="728"/>
      <c r="O53" s="729"/>
      <c r="P53" s="728"/>
      <c r="Q53" s="730"/>
      <c r="R53" s="731"/>
      <c r="S53" s="729"/>
      <c r="T53" s="711"/>
      <c r="U53" s="732">
        <f t="shared" si="19"/>
        <v>0</v>
      </c>
      <c r="V53" s="733">
        <f t="shared" si="20"/>
        <v>0</v>
      </c>
      <c r="W53" s="710"/>
      <c r="X53" s="711"/>
      <c r="Y53" s="732">
        <f t="shared" si="12"/>
        <v>0</v>
      </c>
      <c r="Z53" s="733">
        <f t="shared" si="13"/>
        <v>0</v>
      </c>
      <c r="AA53" s="710"/>
      <c r="AB53" s="711"/>
      <c r="AC53" s="732">
        <f t="shared" si="14"/>
        <v>0</v>
      </c>
      <c r="AD53" s="733">
        <f t="shared" si="15"/>
        <v>0</v>
      </c>
      <c r="AE53" s="712"/>
      <c r="AF53" s="711"/>
      <c r="AG53" s="732">
        <f t="shared" si="16"/>
        <v>0</v>
      </c>
      <c r="AH53" s="733">
        <f t="shared" si="17"/>
        <v>0</v>
      </c>
      <c r="AI53" s="712"/>
      <c r="AJ53" s="708"/>
      <c r="AK53" s="733">
        <f t="shared" si="18"/>
        <v>0</v>
      </c>
      <c r="AL53" s="713"/>
    </row>
    <row r="54" spans="2:38" s="527" customFormat="1" outlineLevel="1">
      <c r="B54" s="699">
        <f>'Master BOQ Pricing_2018-01-08'!B54</f>
        <v>2.38</v>
      </c>
      <c r="C54" s="700" t="str">
        <f>'Master BOQ Pricing_2018-01-08'!C54</f>
        <v>Excavation of hard rock in trench</v>
      </c>
      <c r="D54" s="727" t="str">
        <f>'Master BOQ Pricing_2018-01-08'!D54</f>
        <v>m³</v>
      </c>
      <c r="E54" s="702">
        <f>'Master BOQ Pricing_2018-01-08'!E54</f>
        <v>867.39</v>
      </c>
      <c r="F54" s="703"/>
      <c r="G54" s="704">
        <f t="shared" si="1"/>
        <v>0</v>
      </c>
      <c r="H54" s="728"/>
      <c r="I54" s="729"/>
      <c r="J54" s="728"/>
      <c r="K54" s="729"/>
      <c r="L54" s="728"/>
      <c r="M54" s="729"/>
      <c r="N54" s="728"/>
      <c r="O54" s="729"/>
      <c r="P54" s="728"/>
      <c r="Q54" s="730"/>
      <c r="R54" s="731"/>
      <c r="S54" s="729"/>
      <c r="T54" s="711"/>
      <c r="U54" s="732">
        <f t="shared" si="19"/>
        <v>0</v>
      </c>
      <c r="V54" s="733">
        <f t="shared" si="20"/>
        <v>0</v>
      </c>
      <c r="W54" s="710"/>
      <c r="X54" s="711"/>
      <c r="Y54" s="732">
        <f t="shared" si="12"/>
        <v>0</v>
      </c>
      <c r="Z54" s="733">
        <f t="shared" si="13"/>
        <v>0</v>
      </c>
      <c r="AA54" s="710"/>
      <c r="AB54" s="711"/>
      <c r="AC54" s="732">
        <f t="shared" si="14"/>
        <v>0</v>
      </c>
      <c r="AD54" s="733">
        <f t="shared" si="15"/>
        <v>0</v>
      </c>
      <c r="AE54" s="712"/>
      <c r="AF54" s="711"/>
      <c r="AG54" s="732">
        <f t="shared" si="16"/>
        <v>0</v>
      </c>
      <c r="AH54" s="733">
        <f t="shared" si="17"/>
        <v>0</v>
      </c>
      <c r="AI54" s="712"/>
      <c r="AJ54" s="708"/>
      <c r="AK54" s="733">
        <f t="shared" si="18"/>
        <v>0</v>
      </c>
      <c r="AL54" s="713"/>
    </row>
    <row r="55" spans="2:38" s="527" customFormat="1" outlineLevel="1">
      <c r="B55" s="699">
        <f>'Master BOQ Pricing_2018-01-08'!B55</f>
        <v>2.39</v>
      </c>
      <c r="C55" s="700" t="str">
        <f>'Master BOQ Pricing_2018-01-08'!C55</f>
        <v>Excavation of intermediate rock in trench</v>
      </c>
      <c r="D55" s="727" t="str">
        <f>'Master BOQ Pricing_2018-01-08'!D55</f>
        <v>m³</v>
      </c>
      <c r="E55" s="702">
        <f>'Master BOQ Pricing_2018-01-08'!E55</f>
        <v>494.09</v>
      </c>
      <c r="F55" s="703"/>
      <c r="G55" s="704">
        <f t="shared" si="1"/>
        <v>0</v>
      </c>
      <c r="H55" s="728"/>
      <c r="I55" s="729"/>
      <c r="J55" s="728"/>
      <c r="K55" s="729"/>
      <c r="L55" s="728"/>
      <c r="M55" s="729"/>
      <c r="N55" s="728"/>
      <c r="O55" s="729"/>
      <c r="P55" s="728"/>
      <c r="Q55" s="730"/>
      <c r="R55" s="731"/>
      <c r="S55" s="729"/>
      <c r="T55" s="711"/>
      <c r="U55" s="732">
        <f t="shared" si="19"/>
        <v>0</v>
      </c>
      <c r="V55" s="733">
        <f t="shared" si="20"/>
        <v>0</v>
      </c>
      <c r="W55" s="710"/>
      <c r="X55" s="711"/>
      <c r="Y55" s="732">
        <f t="shared" si="12"/>
        <v>0</v>
      </c>
      <c r="Z55" s="733">
        <f t="shared" si="13"/>
        <v>0</v>
      </c>
      <c r="AA55" s="710"/>
      <c r="AB55" s="711"/>
      <c r="AC55" s="732">
        <f t="shared" si="14"/>
        <v>0</v>
      </c>
      <c r="AD55" s="733">
        <f t="shared" si="15"/>
        <v>0</v>
      </c>
      <c r="AE55" s="712"/>
      <c r="AF55" s="711"/>
      <c r="AG55" s="732">
        <f t="shared" si="16"/>
        <v>0</v>
      </c>
      <c r="AH55" s="733">
        <f t="shared" si="17"/>
        <v>0</v>
      </c>
      <c r="AI55" s="712"/>
      <c r="AJ55" s="708"/>
      <c r="AK55" s="733">
        <f t="shared" si="18"/>
        <v>0</v>
      </c>
      <c r="AL55" s="713"/>
    </row>
    <row r="56" spans="2:38" s="527" customFormat="1" outlineLevel="1">
      <c r="B56" s="699">
        <f>'Master BOQ Pricing_2018-01-08'!B56</f>
        <v>2.4</v>
      </c>
      <c r="C56" s="700" t="str">
        <f>'Master BOQ Pricing_2018-01-08'!C56</f>
        <v>Excavation and backfilling of trench in Hard Soil (400mm width x 700mm depth)</v>
      </c>
      <c r="D56" s="727" t="str">
        <f>'Master BOQ Pricing_2018-01-08'!D56</f>
        <v>m</v>
      </c>
      <c r="E56" s="702">
        <f>'Master BOQ Pricing_2018-01-08'!E56</f>
        <v>88.35</v>
      </c>
      <c r="F56" s="703"/>
      <c r="G56" s="704">
        <f t="shared" ref="G56" si="45">+F56*E56</f>
        <v>0</v>
      </c>
      <c r="H56" s="728"/>
      <c r="I56" s="729"/>
      <c r="J56" s="728"/>
      <c r="K56" s="729"/>
      <c r="L56" s="728"/>
      <c r="M56" s="729"/>
      <c r="N56" s="728"/>
      <c r="O56" s="729"/>
      <c r="P56" s="728"/>
      <c r="Q56" s="730"/>
      <c r="R56" s="731"/>
      <c r="S56" s="729"/>
      <c r="T56" s="711"/>
      <c r="U56" s="732">
        <f t="shared" si="19"/>
        <v>0</v>
      </c>
      <c r="V56" s="733">
        <f t="shared" si="20"/>
        <v>0</v>
      </c>
      <c r="W56" s="710"/>
      <c r="X56" s="711"/>
      <c r="Y56" s="732">
        <f t="shared" si="12"/>
        <v>0</v>
      </c>
      <c r="Z56" s="733">
        <f t="shared" si="13"/>
        <v>0</v>
      </c>
      <c r="AA56" s="710"/>
      <c r="AB56" s="711"/>
      <c r="AC56" s="732">
        <f t="shared" si="14"/>
        <v>0</v>
      </c>
      <c r="AD56" s="733">
        <f t="shared" si="15"/>
        <v>0</v>
      </c>
      <c r="AE56" s="712"/>
      <c r="AF56" s="711"/>
      <c r="AG56" s="732">
        <f t="shared" si="16"/>
        <v>0</v>
      </c>
      <c r="AH56" s="733">
        <f t="shared" si="17"/>
        <v>0</v>
      </c>
      <c r="AI56" s="712"/>
      <c r="AJ56" s="708"/>
      <c r="AK56" s="733">
        <f t="shared" si="18"/>
        <v>0</v>
      </c>
      <c r="AL56" s="713"/>
    </row>
    <row r="57" spans="2:38" s="527" customFormat="1">
      <c r="B57" s="714">
        <f>'Master BOQ Pricing_2018-01-08'!B57</f>
        <v>2</v>
      </c>
      <c r="C57" s="715" t="str">
        <f>'Master BOQ Pricing_2018-01-08'!C57</f>
        <v>WALLS &amp; SPECILISED SURFACES</v>
      </c>
      <c r="D57" s="716"/>
      <c r="E57" s="717"/>
      <c r="F57" s="718"/>
      <c r="G57" s="719">
        <f>SUBTOTAL(9,G58:G64)</f>
        <v>0</v>
      </c>
      <c r="H57" s="720"/>
      <c r="I57" s="721"/>
      <c r="J57" s="720"/>
      <c r="K57" s="721"/>
      <c r="L57" s="720"/>
      <c r="M57" s="721"/>
      <c r="N57" s="720"/>
      <c r="O57" s="721"/>
      <c r="P57" s="720"/>
      <c r="Q57" s="722"/>
      <c r="R57" s="720"/>
      <c r="S57" s="721"/>
      <c r="T57" s="720"/>
      <c r="U57" s="723"/>
      <c r="V57" s="724"/>
      <c r="W57" s="725"/>
      <c r="X57" s="720"/>
      <c r="Y57" s="723"/>
      <c r="Z57" s="724"/>
      <c r="AA57" s="725"/>
      <c r="AB57" s="720"/>
      <c r="AC57" s="723"/>
      <c r="AD57" s="724"/>
      <c r="AE57" s="725"/>
      <c r="AF57" s="720"/>
      <c r="AG57" s="723"/>
      <c r="AH57" s="724"/>
      <c r="AI57" s="725"/>
      <c r="AJ57" s="723"/>
      <c r="AK57" s="724"/>
      <c r="AL57" s="726"/>
    </row>
    <row r="58" spans="2:38" s="527" customFormat="1" outlineLevel="1">
      <c r="B58" s="699">
        <f>'Master BOQ Pricing_2018-01-08'!B58</f>
        <v>2.39</v>
      </c>
      <c r="C58" s="700" t="str">
        <f>'Master BOQ Pricing_2018-01-08'!C58</f>
        <v>Build single brick retaining wall</v>
      </c>
      <c r="D58" s="727" t="str">
        <f>'Master BOQ Pricing_2018-01-08'!D58</f>
        <v>m²</v>
      </c>
      <c r="E58" s="702">
        <f>'Master BOQ Pricing_2018-01-08'!E58</f>
        <v>350</v>
      </c>
      <c r="F58" s="703"/>
      <c r="G58" s="704">
        <f t="shared" si="1"/>
        <v>0</v>
      </c>
      <c r="H58" s="728"/>
      <c r="I58" s="729"/>
      <c r="J58" s="728"/>
      <c r="K58" s="729"/>
      <c r="L58" s="728"/>
      <c r="M58" s="729"/>
      <c r="N58" s="728"/>
      <c r="O58" s="729"/>
      <c r="P58" s="728"/>
      <c r="Q58" s="730"/>
      <c r="R58" s="731"/>
      <c r="S58" s="729"/>
      <c r="T58" s="711"/>
      <c r="U58" s="732">
        <f t="shared" si="9"/>
        <v>0</v>
      </c>
      <c r="V58" s="733">
        <f t="shared" si="10"/>
        <v>0</v>
      </c>
      <c r="W58" s="710"/>
      <c r="X58" s="711"/>
      <c r="Y58" s="732">
        <f t="shared" si="2"/>
        <v>0</v>
      </c>
      <c r="Z58" s="733">
        <f t="shared" si="3"/>
        <v>0</v>
      </c>
      <c r="AA58" s="710"/>
      <c r="AB58" s="711"/>
      <c r="AC58" s="732">
        <f t="shared" si="4"/>
        <v>0</v>
      </c>
      <c r="AD58" s="733">
        <f t="shared" si="5"/>
        <v>0</v>
      </c>
      <c r="AE58" s="712"/>
      <c r="AF58" s="711"/>
      <c r="AG58" s="732">
        <f t="shared" si="6"/>
        <v>0</v>
      </c>
      <c r="AH58" s="733">
        <f t="shared" si="7"/>
        <v>0</v>
      </c>
      <c r="AI58" s="712"/>
      <c r="AJ58" s="708"/>
      <c r="AK58" s="733">
        <f t="shared" si="8"/>
        <v>0</v>
      </c>
      <c r="AL58" s="713"/>
    </row>
    <row r="59" spans="2:38" s="527" customFormat="1" outlineLevel="1">
      <c r="B59" s="699">
        <f>'Master BOQ Pricing_2018-01-08'!B59</f>
        <v>2.4</v>
      </c>
      <c r="C59" s="700" t="str">
        <f>'Master BOQ Pricing_2018-01-08'!C59</f>
        <v>Build double brick retaining wall</v>
      </c>
      <c r="D59" s="727" t="str">
        <f>'Master BOQ Pricing_2018-01-08'!D59</f>
        <v>m²</v>
      </c>
      <c r="E59" s="702">
        <f>'Master BOQ Pricing_2018-01-08'!E59</f>
        <v>700</v>
      </c>
      <c r="F59" s="703"/>
      <c r="G59" s="704">
        <f t="shared" si="1"/>
        <v>0</v>
      </c>
      <c r="H59" s="728"/>
      <c r="I59" s="729"/>
      <c r="J59" s="728"/>
      <c r="K59" s="729"/>
      <c r="L59" s="728"/>
      <c r="M59" s="729"/>
      <c r="N59" s="728"/>
      <c r="O59" s="729"/>
      <c r="P59" s="728"/>
      <c r="Q59" s="730"/>
      <c r="R59" s="731"/>
      <c r="S59" s="729"/>
      <c r="T59" s="711"/>
      <c r="U59" s="732">
        <f t="shared" si="9"/>
        <v>0</v>
      </c>
      <c r="V59" s="733">
        <f t="shared" si="10"/>
        <v>0</v>
      </c>
      <c r="W59" s="710"/>
      <c r="X59" s="711"/>
      <c r="Y59" s="732">
        <f t="shared" si="2"/>
        <v>0</v>
      </c>
      <c r="Z59" s="733">
        <f t="shared" si="3"/>
        <v>0</v>
      </c>
      <c r="AA59" s="710"/>
      <c r="AB59" s="711"/>
      <c r="AC59" s="732">
        <f t="shared" si="4"/>
        <v>0</v>
      </c>
      <c r="AD59" s="733">
        <f t="shared" si="5"/>
        <v>0</v>
      </c>
      <c r="AE59" s="712"/>
      <c r="AF59" s="711"/>
      <c r="AG59" s="732">
        <f t="shared" si="6"/>
        <v>0</v>
      </c>
      <c r="AH59" s="733">
        <f t="shared" si="7"/>
        <v>0</v>
      </c>
      <c r="AI59" s="712"/>
      <c r="AJ59" s="708"/>
      <c r="AK59" s="733">
        <f t="shared" si="8"/>
        <v>0</v>
      </c>
      <c r="AL59" s="713"/>
    </row>
    <row r="60" spans="2:38" s="528" customFormat="1" outlineLevel="1">
      <c r="B60" s="699">
        <f>'Master BOQ Pricing_2018-01-08'!B60</f>
        <v>2.41</v>
      </c>
      <c r="C60" s="700" t="str">
        <f>'Master BOQ Pricing_2018-01-08'!C60</f>
        <v>Supply and install interlocking block retaining wall</v>
      </c>
      <c r="D60" s="727" t="str">
        <f>'Master BOQ Pricing_2018-01-08'!D60</f>
        <v xml:space="preserve">ea </v>
      </c>
      <c r="E60" s="702">
        <f>'Master BOQ Pricing_2018-01-08'!E60</f>
        <v>26.26</v>
      </c>
      <c r="F60" s="703"/>
      <c r="G60" s="704">
        <f t="shared" si="1"/>
        <v>0</v>
      </c>
      <c r="H60" s="728"/>
      <c r="I60" s="729"/>
      <c r="J60" s="728"/>
      <c r="K60" s="729"/>
      <c r="L60" s="728"/>
      <c r="M60" s="729"/>
      <c r="N60" s="728"/>
      <c r="O60" s="729"/>
      <c r="P60" s="728"/>
      <c r="Q60" s="730"/>
      <c r="R60" s="731"/>
      <c r="S60" s="729"/>
      <c r="T60" s="711"/>
      <c r="U60" s="732">
        <f t="shared" si="9"/>
        <v>0</v>
      </c>
      <c r="V60" s="733">
        <f t="shared" si="10"/>
        <v>0</v>
      </c>
      <c r="W60" s="710"/>
      <c r="X60" s="711"/>
      <c r="Y60" s="732">
        <f t="shared" si="2"/>
        <v>0</v>
      </c>
      <c r="Z60" s="733">
        <f t="shared" si="3"/>
        <v>0</v>
      </c>
      <c r="AA60" s="710"/>
      <c r="AB60" s="711"/>
      <c r="AC60" s="732">
        <f t="shared" si="4"/>
        <v>0</v>
      </c>
      <c r="AD60" s="733">
        <f t="shared" si="5"/>
        <v>0</v>
      </c>
      <c r="AE60" s="712"/>
      <c r="AF60" s="711"/>
      <c r="AG60" s="732">
        <f t="shared" si="6"/>
        <v>0</v>
      </c>
      <c r="AH60" s="733">
        <f t="shared" si="7"/>
        <v>0</v>
      </c>
      <c r="AI60" s="712"/>
      <c r="AJ60" s="708"/>
      <c r="AK60" s="733">
        <f t="shared" si="8"/>
        <v>0</v>
      </c>
      <c r="AL60" s="713"/>
    </row>
    <row r="61" spans="2:38" s="250" customFormat="1" outlineLevel="1">
      <c r="B61" s="699">
        <f>'Master BOQ Pricing_2018-01-08'!B61</f>
        <v>2.42</v>
      </c>
      <c r="C61" s="700" t="str">
        <f>'Master BOQ Pricing_2018-01-08'!C61</f>
        <v>Removal of paving /m2 (Brick paving  Slabbed paving and Slasto)</v>
      </c>
      <c r="D61" s="727" t="str">
        <f>'Master BOQ Pricing_2018-01-08'!D61</f>
        <v>m²</v>
      </c>
      <c r="E61" s="702">
        <f>'Master BOQ Pricing_2018-01-08'!E61</f>
        <v>28.5</v>
      </c>
      <c r="F61" s="734"/>
      <c r="G61" s="704">
        <f t="shared" si="1"/>
        <v>0</v>
      </c>
      <c r="H61" s="735"/>
      <c r="I61" s="736"/>
      <c r="J61" s="735"/>
      <c r="K61" s="736"/>
      <c r="L61" s="735"/>
      <c r="M61" s="736"/>
      <c r="N61" s="735"/>
      <c r="O61" s="736"/>
      <c r="P61" s="735"/>
      <c r="Q61" s="737"/>
      <c r="R61" s="738"/>
      <c r="S61" s="736"/>
      <c r="T61" s="739"/>
      <c r="U61" s="732">
        <f t="shared" si="9"/>
        <v>0</v>
      </c>
      <c r="V61" s="733">
        <f t="shared" si="10"/>
        <v>0</v>
      </c>
      <c r="W61" s="740"/>
      <c r="X61" s="739"/>
      <c r="Y61" s="732">
        <f t="shared" si="2"/>
        <v>0</v>
      </c>
      <c r="Z61" s="733">
        <f t="shared" si="3"/>
        <v>0</v>
      </c>
      <c r="AA61" s="710"/>
      <c r="AB61" s="711"/>
      <c r="AC61" s="732">
        <f t="shared" si="4"/>
        <v>0</v>
      </c>
      <c r="AD61" s="733">
        <f t="shared" si="5"/>
        <v>0</v>
      </c>
      <c r="AE61" s="712"/>
      <c r="AF61" s="711"/>
      <c r="AG61" s="732">
        <f t="shared" si="6"/>
        <v>0</v>
      </c>
      <c r="AH61" s="733">
        <f t="shared" si="7"/>
        <v>0</v>
      </c>
      <c r="AI61" s="712"/>
      <c r="AJ61" s="708"/>
      <c r="AK61" s="733">
        <f t="shared" si="8"/>
        <v>0</v>
      </c>
      <c r="AL61" s="713"/>
    </row>
    <row r="62" spans="2:38" s="527" customFormat="1" outlineLevel="1">
      <c r="B62" s="699">
        <f>'Master BOQ Pricing_2018-01-08'!B62</f>
        <v>2.4300000000000002</v>
      </c>
      <c r="C62" s="700" t="str">
        <f>'Master BOQ Pricing_2018-01-08'!C62</f>
        <v xml:space="preserve">Supply and install concrete slab for duct protection (300mmx700mmx50mm or as otherwise specified) </v>
      </c>
      <c r="D62" s="727" t="str">
        <f>'Master BOQ Pricing_2018-01-08'!D62</f>
        <v>ea</v>
      </c>
      <c r="E62" s="702">
        <f>'Master BOQ Pricing_2018-01-08'!E62</f>
        <v>30.45</v>
      </c>
      <c r="F62" s="703"/>
      <c r="G62" s="704">
        <f t="shared" si="1"/>
        <v>0</v>
      </c>
      <c r="H62" s="728"/>
      <c r="I62" s="729"/>
      <c r="J62" s="728"/>
      <c r="K62" s="729"/>
      <c r="L62" s="728"/>
      <c r="M62" s="729"/>
      <c r="N62" s="728"/>
      <c r="O62" s="729"/>
      <c r="P62" s="728"/>
      <c r="Q62" s="730"/>
      <c r="R62" s="731"/>
      <c r="S62" s="729"/>
      <c r="T62" s="711"/>
      <c r="U62" s="732">
        <f t="shared" si="9"/>
        <v>0</v>
      </c>
      <c r="V62" s="733">
        <f t="shared" si="10"/>
        <v>0</v>
      </c>
      <c r="W62" s="710"/>
      <c r="X62" s="711"/>
      <c r="Y62" s="732">
        <f t="shared" si="2"/>
        <v>0</v>
      </c>
      <c r="Z62" s="733">
        <f t="shared" si="3"/>
        <v>0</v>
      </c>
      <c r="AA62" s="710"/>
      <c r="AB62" s="711"/>
      <c r="AC62" s="732">
        <f t="shared" si="4"/>
        <v>0</v>
      </c>
      <c r="AD62" s="733">
        <f t="shared" si="5"/>
        <v>0</v>
      </c>
      <c r="AE62" s="712"/>
      <c r="AF62" s="711"/>
      <c r="AG62" s="732">
        <f t="shared" si="6"/>
        <v>0</v>
      </c>
      <c r="AH62" s="733">
        <f t="shared" si="7"/>
        <v>0</v>
      </c>
      <c r="AI62" s="712"/>
      <c r="AJ62" s="708"/>
      <c r="AK62" s="733">
        <f t="shared" si="8"/>
        <v>0</v>
      </c>
      <c r="AL62" s="713"/>
    </row>
    <row r="63" spans="2:38" s="527" customFormat="1" outlineLevel="1">
      <c r="B63" s="699">
        <f>'Master BOQ Pricing_2018-01-08'!B63</f>
        <v>2.44</v>
      </c>
      <c r="C63" s="700" t="str">
        <f>'Master BOQ Pricing_2018-01-08'!C63</f>
        <v>Supply and place city duct markers including painting with yellow road marking paint</v>
      </c>
      <c r="D63" s="727" t="str">
        <f>'Master BOQ Pricing_2018-01-08'!D63</f>
        <v>ea</v>
      </c>
      <c r="E63" s="702">
        <f>'Master BOQ Pricing_2018-01-08'!E63</f>
        <v>19.649999999999999</v>
      </c>
      <c r="F63" s="703"/>
      <c r="G63" s="704">
        <f t="shared" si="1"/>
        <v>0</v>
      </c>
      <c r="H63" s="728"/>
      <c r="I63" s="729"/>
      <c r="J63" s="728"/>
      <c r="K63" s="729"/>
      <c r="L63" s="728"/>
      <c r="M63" s="729"/>
      <c r="N63" s="728"/>
      <c r="O63" s="729"/>
      <c r="P63" s="728"/>
      <c r="Q63" s="730"/>
      <c r="R63" s="731"/>
      <c r="S63" s="729"/>
      <c r="T63" s="711"/>
      <c r="U63" s="732">
        <f t="shared" si="9"/>
        <v>0</v>
      </c>
      <c r="V63" s="733">
        <f t="shared" si="10"/>
        <v>0</v>
      </c>
      <c r="W63" s="710"/>
      <c r="X63" s="711"/>
      <c r="Y63" s="732">
        <f t="shared" si="2"/>
        <v>0</v>
      </c>
      <c r="Z63" s="733">
        <f t="shared" si="3"/>
        <v>0</v>
      </c>
      <c r="AA63" s="710"/>
      <c r="AB63" s="711"/>
      <c r="AC63" s="732">
        <f t="shared" si="4"/>
        <v>0</v>
      </c>
      <c r="AD63" s="733">
        <f t="shared" si="5"/>
        <v>0</v>
      </c>
      <c r="AE63" s="712"/>
      <c r="AF63" s="711"/>
      <c r="AG63" s="732">
        <f t="shared" si="6"/>
        <v>0</v>
      </c>
      <c r="AH63" s="733">
        <f t="shared" si="7"/>
        <v>0</v>
      </c>
      <c r="AI63" s="712"/>
      <c r="AJ63" s="708"/>
      <c r="AK63" s="733">
        <f t="shared" si="8"/>
        <v>0</v>
      </c>
      <c r="AL63" s="713"/>
    </row>
    <row r="64" spans="2:38" s="527" customFormat="1" outlineLevel="1">
      <c r="B64" s="699">
        <f>'Master BOQ Pricing_2018-01-08'!B64</f>
        <v>2.4500000000000002</v>
      </c>
      <c r="C64" s="700" t="str">
        <f>'Master BOQ Pricing_2018-01-08'!C64</f>
        <v>DCP testing every 20m</v>
      </c>
      <c r="D64" s="727" t="str">
        <f>'Master BOQ Pricing_2018-01-08'!D64</f>
        <v>ea</v>
      </c>
      <c r="E64" s="702">
        <f>'Master BOQ Pricing_2018-01-08'!E64</f>
        <v>10</v>
      </c>
      <c r="F64" s="703"/>
      <c r="G64" s="704">
        <f t="shared" si="1"/>
        <v>0</v>
      </c>
      <c r="H64" s="728"/>
      <c r="I64" s="729"/>
      <c r="J64" s="728"/>
      <c r="K64" s="729"/>
      <c r="L64" s="728"/>
      <c r="M64" s="729"/>
      <c r="N64" s="728"/>
      <c r="O64" s="729"/>
      <c r="P64" s="728"/>
      <c r="Q64" s="730"/>
      <c r="R64" s="731"/>
      <c r="S64" s="729"/>
      <c r="T64" s="711"/>
      <c r="U64" s="732">
        <f t="shared" si="9"/>
        <v>0</v>
      </c>
      <c r="V64" s="733">
        <f t="shared" si="10"/>
        <v>0</v>
      </c>
      <c r="W64" s="710"/>
      <c r="X64" s="711"/>
      <c r="Y64" s="732">
        <f t="shared" si="2"/>
        <v>0</v>
      </c>
      <c r="Z64" s="733">
        <f t="shared" si="3"/>
        <v>0</v>
      </c>
      <c r="AA64" s="710"/>
      <c r="AB64" s="711"/>
      <c r="AC64" s="732">
        <f t="shared" si="4"/>
        <v>0</v>
      </c>
      <c r="AD64" s="733">
        <f t="shared" si="5"/>
        <v>0</v>
      </c>
      <c r="AE64" s="712"/>
      <c r="AF64" s="711"/>
      <c r="AG64" s="732">
        <f t="shared" si="6"/>
        <v>0</v>
      </c>
      <c r="AH64" s="733">
        <f t="shared" si="7"/>
        <v>0</v>
      </c>
      <c r="AI64" s="712"/>
      <c r="AJ64" s="708"/>
      <c r="AK64" s="733">
        <f t="shared" si="8"/>
        <v>0</v>
      </c>
      <c r="AL64" s="713"/>
    </row>
    <row r="65" spans="2:38" s="527" customFormat="1">
      <c r="B65" s="741">
        <f>'Master BOQ Pricing_2018-01-08'!B65</f>
        <v>3</v>
      </c>
      <c r="C65" s="742" t="str">
        <f>'Master BOQ Pricing_2018-01-08'!C65</f>
        <v>PIPES AND DUCTS</v>
      </c>
      <c r="D65" s="743"/>
      <c r="E65" s="744"/>
      <c r="F65" s="745"/>
      <c r="G65" s="746">
        <f>SUBTOTAL(9,G66:G73)</f>
        <v>0</v>
      </c>
      <c r="H65" s="747"/>
      <c r="I65" s="748"/>
      <c r="J65" s="747"/>
      <c r="K65" s="748"/>
      <c r="L65" s="747"/>
      <c r="M65" s="748"/>
      <c r="N65" s="747"/>
      <c r="O65" s="746">
        <f>SUBTOTAL(9,O72:O73)</f>
        <v>0</v>
      </c>
      <c r="P65" s="747"/>
      <c r="Q65" s="749"/>
      <c r="R65" s="750"/>
      <c r="S65" s="748"/>
      <c r="T65" s="751"/>
      <c r="U65" s="752"/>
      <c r="V65" s="753"/>
      <c r="W65" s="754"/>
      <c r="X65" s="751"/>
      <c r="Y65" s="755"/>
      <c r="Z65" s="756"/>
      <c r="AA65" s="757"/>
      <c r="AB65" s="758"/>
      <c r="AC65" s="755"/>
      <c r="AD65" s="756"/>
      <c r="AE65" s="759"/>
      <c r="AF65" s="758"/>
      <c r="AG65" s="755"/>
      <c r="AH65" s="756"/>
      <c r="AI65" s="759"/>
      <c r="AJ65" s="760"/>
      <c r="AK65" s="756"/>
      <c r="AL65" s="761"/>
    </row>
    <row r="66" spans="2:38" s="527" customFormat="1" outlineLevel="1">
      <c r="B66" s="699">
        <f>'Master BOQ Pricing_2018-01-08'!B66</f>
        <v>3.01</v>
      </c>
      <c r="C66" s="700" t="str">
        <f>'Master BOQ Pricing_2018-01-08'!C66</f>
        <v>Install 1 x 110mm HDPE pipe in open trench</v>
      </c>
      <c r="D66" s="727" t="str">
        <f>'Master BOQ Pricing_2018-01-08'!D66</f>
        <v>m</v>
      </c>
      <c r="E66" s="702">
        <f>'Master BOQ Pricing_2018-01-08'!E66</f>
        <v>3</v>
      </c>
      <c r="F66" s="703"/>
      <c r="G66" s="704">
        <f>+F66*E66</f>
        <v>0</v>
      </c>
      <c r="H66" s="728"/>
      <c r="I66" s="729"/>
      <c r="J66" s="728"/>
      <c r="K66" s="729"/>
      <c r="L66" s="728"/>
      <c r="M66" s="729"/>
      <c r="N66" s="728"/>
      <c r="O66" s="729"/>
      <c r="P66" s="728"/>
      <c r="Q66" s="730"/>
      <c r="R66" s="731"/>
      <c r="S66" s="729"/>
      <c r="T66" s="708"/>
      <c r="U66" s="732">
        <f>T66+F66</f>
        <v>0</v>
      </c>
      <c r="V66" s="733">
        <f>U66*E66</f>
        <v>0</v>
      </c>
      <c r="W66" s="710"/>
      <c r="X66" s="711"/>
      <c r="Y66" s="732">
        <f t="shared" si="2"/>
        <v>0</v>
      </c>
      <c r="Z66" s="733">
        <f t="shared" si="3"/>
        <v>0</v>
      </c>
      <c r="AA66" s="710"/>
      <c r="AB66" s="711"/>
      <c r="AC66" s="732">
        <f t="shared" si="4"/>
        <v>0</v>
      </c>
      <c r="AD66" s="733">
        <f t="shared" si="5"/>
        <v>0</v>
      </c>
      <c r="AE66" s="712"/>
      <c r="AF66" s="711"/>
      <c r="AG66" s="732">
        <f t="shared" si="6"/>
        <v>0</v>
      </c>
      <c r="AH66" s="733">
        <f t="shared" si="7"/>
        <v>0</v>
      </c>
      <c r="AI66" s="712"/>
      <c r="AJ66" s="708"/>
      <c r="AK66" s="733">
        <f t="shared" si="8"/>
        <v>0</v>
      </c>
      <c r="AL66" s="713"/>
    </row>
    <row r="67" spans="2:38" s="527" customFormat="1" outlineLevel="1">
      <c r="B67" s="699">
        <f>'Master BOQ Pricing_2018-01-08'!B67</f>
        <v>3.02</v>
      </c>
      <c r="C67" s="700" t="str">
        <f>'Master BOQ Pricing_2018-01-08'!C67</f>
        <v>Install 1 x 50mm/40mm Aggri pipe in open trench</v>
      </c>
      <c r="D67" s="727" t="str">
        <f>'Master BOQ Pricing_2018-01-08'!D67</f>
        <v>m</v>
      </c>
      <c r="E67" s="702">
        <f>'Master BOQ Pricing_2018-01-08'!E67</f>
        <v>3</v>
      </c>
      <c r="F67" s="703"/>
      <c r="G67" s="704">
        <f t="shared" ref="G67:G71" si="46">+F67*E67</f>
        <v>0</v>
      </c>
      <c r="H67" s="728"/>
      <c r="I67" s="729"/>
      <c r="J67" s="728"/>
      <c r="K67" s="729"/>
      <c r="L67" s="728"/>
      <c r="M67" s="729"/>
      <c r="N67" s="728"/>
      <c r="O67" s="729"/>
      <c r="P67" s="728"/>
      <c r="Q67" s="730"/>
      <c r="R67" s="731"/>
      <c r="S67" s="729"/>
      <c r="T67" s="708"/>
      <c r="U67" s="732">
        <f t="shared" ref="U67:U71" si="47">T67+F67</f>
        <v>0</v>
      </c>
      <c r="V67" s="733">
        <f t="shared" ref="V67:V73" si="48">U67*E67</f>
        <v>0</v>
      </c>
      <c r="W67" s="710"/>
      <c r="X67" s="711"/>
      <c r="Y67" s="732">
        <f t="shared" si="2"/>
        <v>0</v>
      </c>
      <c r="Z67" s="733">
        <f t="shared" si="3"/>
        <v>0</v>
      </c>
      <c r="AA67" s="710"/>
      <c r="AB67" s="711"/>
      <c r="AC67" s="732">
        <f t="shared" si="4"/>
        <v>0</v>
      </c>
      <c r="AD67" s="733">
        <f t="shared" si="5"/>
        <v>0</v>
      </c>
      <c r="AE67" s="712"/>
      <c r="AF67" s="711"/>
      <c r="AG67" s="732">
        <f t="shared" si="6"/>
        <v>0</v>
      </c>
      <c r="AH67" s="733">
        <f t="shared" si="7"/>
        <v>0</v>
      </c>
      <c r="AI67" s="712"/>
      <c r="AJ67" s="708"/>
      <c r="AK67" s="733">
        <f t="shared" si="8"/>
        <v>0</v>
      </c>
      <c r="AL67" s="713"/>
    </row>
    <row r="68" spans="2:38" s="527" customFormat="1" outlineLevel="1">
      <c r="B68" s="699">
        <f>'Master BOQ Pricing_2018-01-08'!B68</f>
        <v>3.03</v>
      </c>
      <c r="C68" s="700" t="str">
        <f>'Master BOQ Pricing_2018-01-08'!C68</f>
        <v>Install 2 x 110mm HDPE pipe in open trench</v>
      </c>
      <c r="D68" s="727" t="str">
        <f>'Master BOQ Pricing_2018-01-08'!D68</f>
        <v>m</v>
      </c>
      <c r="E68" s="702">
        <f>'Master BOQ Pricing_2018-01-08'!E68</f>
        <v>6</v>
      </c>
      <c r="F68" s="703"/>
      <c r="G68" s="704">
        <f t="shared" si="46"/>
        <v>0</v>
      </c>
      <c r="H68" s="728"/>
      <c r="I68" s="729"/>
      <c r="J68" s="728"/>
      <c r="K68" s="729"/>
      <c r="L68" s="728"/>
      <c r="M68" s="729"/>
      <c r="N68" s="728"/>
      <c r="O68" s="729"/>
      <c r="P68" s="728"/>
      <c r="Q68" s="730"/>
      <c r="R68" s="731"/>
      <c r="S68" s="729"/>
      <c r="T68" s="711"/>
      <c r="U68" s="732">
        <f t="shared" si="47"/>
        <v>0</v>
      </c>
      <c r="V68" s="733">
        <f t="shared" si="48"/>
        <v>0</v>
      </c>
      <c r="W68" s="710"/>
      <c r="X68" s="711"/>
      <c r="Y68" s="732">
        <f t="shared" si="2"/>
        <v>0</v>
      </c>
      <c r="Z68" s="733">
        <f t="shared" si="3"/>
        <v>0</v>
      </c>
      <c r="AA68" s="710"/>
      <c r="AB68" s="711"/>
      <c r="AC68" s="732">
        <f t="shared" si="4"/>
        <v>0</v>
      </c>
      <c r="AD68" s="733">
        <f t="shared" si="5"/>
        <v>0</v>
      </c>
      <c r="AE68" s="712"/>
      <c r="AF68" s="711"/>
      <c r="AG68" s="732">
        <f t="shared" si="6"/>
        <v>0</v>
      </c>
      <c r="AH68" s="733">
        <f t="shared" si="7"/>
        <v>0</v>
      </c>
      <c r="AI68" s="712"/>
      <c r="AJ68" s="708"/>
      <c r="AK68" s="733">
        <f t="shared" si="8"/>
        <v>0</v>
      </c>
      <c r="AL68" s="713"/>
    </row>
    <row r="69" spans="2:38" s="528" customFormat="1" outlineLevel="1">
      <c r="B69" s="699">
        <f>'Master BOQ Pricing_2018-01-08'!B69</f>
        <v>3.04</v>
      </c>
      <c r="C69" s="700" t="str">
        <f>'Master BOQ Pricing_2018-01-08'!C69</f>
        <v>Supply and install 110mm steel pipe in open trench</v>
      </c>
      <c r="D69" s="727" t="str">
        <f>'Master BOQ Pricing_2018-01-08'!D69</f>
        <v>m</v>
      </c>
      <c r="E69" s="702">
        <f>'Master BOQ Pricing_2018-01-08'!E69</f>
        <v>130</v>
      </c>
      <c r="F69" s="703"/>
      <c r="G69" s="704">
        <f t="shared" si="46"/>
        <v>0</v>
      </c>
      <c r="H69" s="728"/>
      <c r="I69" s="729"/>
      <c r="J69" s="728"/>
      <c r="K69" s="729"/>
      <c r="L69" s="728"/>
      <c r="M69" s="729"/>
      <c r="N69" s="728"/>
      <c r="O69" s="729"/>
      <c r="P69" s="728"/>
      <c r="Q69" s="730"/>
      <c r="R69" s="731"/>
      <c r="S69" s="729"/>
      <c r="T69" s="711"/>
      <c r="U69" s="732">
        <f t="shared" si="47"/>
        <v>0</v>
      </c>
      <c r="V69" s="733">
        <f t="shared" si="48"/>
        <v>0</v>
      </c>
      <c r="W69" s="710"/>
      <c r="X69" s="711"/>
      <c r="Y69" s="732">
        <f t="shared" si="2"/>
        <v>0</v>
      </c>
      <c r="Z69" s="733">
        <f t="shared" si="3"/>
        <v>0</v>
      </c>
      <c r="AA69" s="710"/>
      <c r="AB69" s="711"/>
      <c r="AC69" s="732">
        <f t="shared" si="4"/>
        <v>0</v>
      </c>
      <c r="AD69" s="733">
        <f t="shared" si="5"/>
        <v>0</v>
      </c>
      <c r="AE69" s="712"/>
      <c r="AF69" s="711"/>
      <c r="AG69" s="732">
        <f t="shared" si="6"/>
        <v>0</v>
      </c>
      <c r="AH69" s="733">
        <f t="shared" si="7"/>
        <v>0</v>
      </c>
      <c r="AI69" s="712"/>
      <c r="AJ69" s="708"/>
      <c r="AK69" s="733">
        <f t="shared" si="8"/>
        <v>0</v>
      </c>
      <c r="AL69" s="713"/>
    </row>
    <row r="70" spans="2:38" s="527" customFormat="1" outlineLevel="1">
      <c r="B70" s="699">
        <f>'Master BOQ Pricing_2018-01-08'!B70</f>
        <v>3.05</v>
      </c>
      <c r="C70" s="700" t="str">
        <f>'Master BOQ Pricing_2018-01-08'!C70</f>
        <v>Install 1/2/4/7 way 12/10 micro-duct in existing duct (110mm duct/Bosal/PVC)</v>
      </c>
      <c r="D70" s="727" t="str">
        <f>'Master BOQ Pricing_2018-01-08'!D70</f>
        <v>m</v>
      </c>
      <c r="E70" s="702">
        <f>'Master BOQ Pricing_2018-01-08'!E70</f>
        <v>7.5</v>
      </c>
      <c r="F70" s="703"/>
      <c r="G70" s="704">
        <f t="shared" si="46"/>
        <v>0</v>
      </c>
      <c r="H70" s="728"/>
      <c r="I70" s="729"/>
      <c r="J70" s="728"/>
      <c r="K70" s="729"/>
      <c r="L70" s="728"/>
      <c r="M70" s="729"/>
      <c r="N70" s="728"/>
      <c r="O70" s="729"/>
      <c r="P70" s="728"/>
      <c r="Q70" s="730"/>
      <c r="R70" s="731"/>
      <c r="S70" s="729"/>
      <c r="T70" s="711"/>
      <c r="U70" s="732">
        <f t="shared" si="47"/>
        <v>0</v>
      </c>
      <c r="V70" s="733">
        <f t="shared" si="48"/>
        <v>0</v>
      </c>
      <c r="W70" s="710"/>
      <c r="X70" s="711"/>
      <c r="Y70" s="732">
        <f t="shared" si="2"/>
        <v>0</v>
      </c>
      <c r="Z70" s="733">
        <f t="shared" si="3"/>
        <v>0</v>
      </c>
      <c r="AA70" s="710"/>
      <c r="AB70" s="711"/>
      <c r="AC70" s="732">
        <f t="shared" si="4"/>
        <v>0</v>
      </c>
      <c r="AD70" s="733">
        <f t="shared" si="5"/>
        <v>0</v>
      </c>
      <c r="AE70" s="712"/>
      <c r="AF70" s="711"/>
      <c r="AG70" s="732">
        <f t="shared" si="6"/>
        <v>0</v>
      </c>
      <c r="AH70" s="733">
        <f t="shared" si="7"/>
        <v>0</v>
      </c>
      <c r="AI70" s="712"/>
      <c r="AJ70" s="708"/>
      <c r="AK70" s="733">
        <f t="shared" si="8"/>
        <v>0</v>
      </c>
      <c r="AL70" s="713"/>
    </row>
    <row r="71" spans="2:38" s="527" customFormat="1" outlineLevel="1">
      <c r="B71" s="699">
        <f>'Master BOQ Pricing_2018-01-08'!B71</f>
        <v>3.06</v>
      </c>
      <c r="C71" s="700" t="str">
        <f>'Master BOQ Pricing_2018-01-08'!C71</f>
        <v>Install 1/2/4/7 way 12/10 micro-duct in open trench</v>
      </c>
      <c r="D71" s="727" t="str">
        <f>'Master BOQ Pricing_2018-01-08'!D71</f>
        <v>m</v>
      </c>
      <c r="E71" s="702">
        <f>'Master BOQ Pricing_2018-01-08'!E71</f>
        <v>3.64</v>
      </c>
      <c r="F71" s="703"/>
      <c r="G71" s="704">
        <f t="shared" si="46"/>
        <v>0</v>
      </c>
      <c r="H71" s="728"/>
      <c r="I71" s="729"/>
      <c r="J71" s="728"/>
      <c r="K71" s="729"/>
      <c r="L71" s="728"/>
      <c r="M71" s="729"/>
      <c r="N71" s="728"/>
      <c r="O71" s="729"/>
      <c r="P71" s="728"/>
      <c r="Q71" s="730"/>
      <c r="R71" s="731"/>
      <c r="S71" s="729"/>
      <c r="T71" s="711"/>
      <c r="U71" s="732">
        <f t="shared" si="47"/>
        <v>0</v>
      </c>
      <c r="V71" s="733">
        <f t="shared" si="48"/>
        <v>0</v>
      </c>
      <c r="W71" s="710"/>
      <c r="X71" s="711"/>
      <c r="Y71" s="732">
        <f t="shared" si="2"/>
        <v>0</v>
      </c>
      <c r="Z71" s="733">
        <f t="shared" si="3"/>
        <v>0</v>
      </c>
      <c r="AA71" s="710"/>
      <c r="AB71" s="711"/>
      <c r="AC71" s="732">
        <f t="shared" si="4"/>
        <v>0</v>
      </c>
      <c r="AD71" s="733">
        <f t="shared" si="5"/>
        <v>0</v>
      </c>
      <c r="AE71" s="712"/>
      <c r="AF71" s="711"/>
      <c r="AG71" s="732">
        <f t="shared" si="6"/>
        <v>0</v>
      </c>
      <c r="AH71" s="733">
        <f t="shared" si="7"/>
        <v>0</v>
      </c>
      <c r="AI71" s="712"/>
      <c r="AJ71" s="708"/>
      <c r="AK71" s="733">
        <f t="shared" si="8"/>
        <v>0</v>
      </c>
      <c r="AL71" s="713"/>
    </row>
    <row r="72" spans="2:38" s="527" customFormat="1" outlineLevel="1">
      <c r="B72" s="699">
        <f>'Master BOQ Pricing_2018-01-08'!B72</f>
        <v>3.07</v>
      </c>
      <c r="C72" s="700" t="str">
        <f>'Master BOQ Pricing_2018-01-08'!C72</f>
        <v>DIT (Duct Integrity Testing) per duct length  Minimum rate R1000.00 or as per agreement. For ISP Only</v>
      </c>
      <c r="D72" s="727" t="str">
        <f>'Master BOQ Pricing_2018-01-08'!D72</f>
        <v>ea</v>
      </c>
      <c r="E72" s="702">
        <f>'Master BOQ Pricing_2018-01-08'!E72</f>
        <v>1000</v>
      </c>
      <c r="F72" s="762"/>
      <c r="G72" s="729"/>
      <c r="H72" s="728"/>
      <c r="I72" s="729"/>
      <c r="J72" s="728"/>
      <c r="K72" s="729"/>
      <c r="L72" s="728"/>
      <c r="M72" s="729"/>
      <c r="N72" s="703"/>
      <c r="O72" s="704">
        <f>+N72*E72</f>
        <v>0</v>
      </c>
      <c r="P72" s="728"/>
      <c r="Q72" s="730"/>
      <c r="R72" s="731"/>
      <c r="S72" s="729"/>
      <c r="T72" s="711"/>
      <c r="U72" s="732">
        <f>T72+N72</f>
        <v>0</v>
      </c>
      <c r="V72" s="733">
        <f t="shared" si="48"/>
        <v>0</v>
      </c>
      <c r="W72" s="710"/>
      <c r="X72" s="711"/>
      <c r="Y72" s="732">
        <f t="shared" si="2"/>
        <v>0</v>
      </c>
      <c r="Z72" s="733">
        <f t="shared" si="3"/>
        <v>0</v>
      </c>
      <c r="AA72" s="710"/>
      <c r="AB72" s="711"/>
      <c r="AC72" s="732">
        <f t="shared" si="4"/>
        <v>0</v>
      </c>
      <c r="AD72" s="733">
        <f t="shared" si="5"/>
        <v>0</v>
      </c>
      <c r="AE72" s="710"/>
      <c r="AF72" s="711"/>
      <c r="AG72" s="732">
        <f t="shared" si="6"/>
        <v>0</v>
      </c>
      <c r="AH72" s="733">
        <f t="shared" si="7"/>
        <v>0</v>
      </c>
      <c r="AI72" s="710"/>
      <c r="AJ72" s="708"/>
      <c r="AK72" s="733">
        <f t="shared" si="8"/>
        <v>0</v>
      </c>
      <c r="AL72" s="763"/>
    </row>
    <row r="73" spans="2:38" s="527" customFormat="1" outlineLevel="1">
      <c r="B73" s="699">
        <f>'Master BOQ Pricing_2018-01-08'!B73</f>
        <v>3.08</v>
      </c>
      <c r="C73" s="700" t="str">
        <f>'Master BOQ Pricing_2018-01-08'!C73</f>
        <v>DIT (Duct Integrity Testing) per duct length for entire route.  Minimum rate R1000.00 or as per rate per m</v>
      </c>
      <c r="D73" s="727" t="str">
        <f>'Master BOQ Pricing_2018-01-08'!D73</f>
        <v>ea</v>
      </c>
      <c r="E73" s="702">
        <f>'Master BOQ Pricing_2018-01-08'!E73</f>
        <v>0.65</v>
      </c>
      <c r="F73" s="762"/>
      <c r="G73" s="729"/>
      <c r="H73" s="728"/>
      <c r="I73" s="729"/>
      <c r="J73" s="728"/>
      <c r="K73" s="729"/>
      <c r="L73" s="728"/>
      <c r="M73" s="729"/>
      <c r="N73" s="703"/>
      <c r="O73" s="704">
        <f>+N73*E73</f>
        <v>0</v>
      </c>
      <c r="P73" s="728"/>
      <c r="Q73" s="730"/>
      <c r="R73" s="731"/>
      <c r="S73" s="729"/>
      <c r="T73" s="711"/>
      <c r="U73" s="732">
        <f>T73+N73</f>
        <v>0</v>
      </c>
      <c r="V73" s="733">
        <f t="shared" si="48"/>
        <v>0</v>
      </c>
      <c r="W73" s="710"/>
      <c r="X73" s="711"/>
      <c r="Y73" s="732">
        <f>X73+U73</f>
        <v>0</v>
      </c>
      <c r="Z73" s="733">
        <f t="shared" si="3"/>
        <v>0</v>
      </c>
      <c r="AA73" s="710"/>
      <c r="AB73" s="711"/>
      <c r="AC73" s="732">
        <f t="shared" si="4"/>
        <v>0</v>
      </c>
      <c r="AD73" s="733">
        <f t="shared" si="5"/>
        <v>0</v>
      </c>
      <c r="AE73" s="710"/>
      <c r="AF73" s="711"/>
      <c r="AG73" s="732">
        <f t="shared" si="6"/>
        <v>0</v>
      </c>
      <c r="AH73" s="733">
        <f t="shared" si="7"/>
        <v>0</v>
      </c>
      <c r="AI73" s="710"/>
      <c r="AJ73" s="708"/>
      <c r="AK73" s="733">
        <f t="shared" si="8"/>
        <v>0</v>
      </c>
      <c r="AL73" s="763"/>
    </row>
    <row r="74" spans="2:38" s="527" customFormat="1">
      <c r="B74" s="741">
        <f>'Master BOQ Pricing_2018-01-08'!B74</f>
        <v>4</v>
      </c>
      <c r="C74" s="742" t="str">
        <f>'Master BOQ Pricing_2018-01-08'!C74</f>
        <v>BEDDING  PADDING AND BACKFILLING</v>
      </c>
      <c r="D74" s="764"/>
      <c r="E74" s="765"/>
      <c r="F74" s="745"/>
      <c r="G74" s="746">
        <f>SUBTOTAL(9,G75:G80)</f>
        <v>0</v>
      </c>
      <c r="H74" s="747"/>
      <c r="I74" s="748"/>
      <c r="J74" s="747"/>
      <c r="K74" s="748"/>
      <c r="L74" s="747"/>
      <c r="M74" s="748"/>
      <c r="N74" s="747"/>
      <c r="O74" s="748"/>
      <c r="P74" s="747"/>
      <c r="Q74" s="749"/>
      <c r="R74" s="750"/>
      <c r="S74" s="748"/>
      <c r="T74" s="751"/>
      <c r="U74" s="752"/>
      <c r="V74" s="753"/>
      <c r="W74" s="754"/>
      <c r="X74" s="751"/>
      <c r="Y74" s="755"/>
      <c r="Z74" s="756"/>
      <c r="AA74" s="757"/>
      <c r="AB74" s="758"/>
      <c r="AC74" s="755"/>
      <c r="AD74" s="756"/>
      <c r="AE74" s="759"/>
      <c r="AF74" s="758"/>
      <c r="AG74" s="755"/>
      <c r="AH74" s="756"/>
      <c r="AI74" s="759"/>
      <c r="AJ74" s="760"/>
      <c r="AK74" s="756"/>
      <c r="AL74" s="761"/>
    </row>
    <row r="75" spans="2:38" s="527" customFormat="1" outlineLevel="1">
      <c r="B75" s="699">
        <f>'Master BOQ Pricing_2018-01-08'!B75</f>
        <v>4.01</v>
      </c>
      <c r="C75" s="700" t="str">
        <f>'Master BOQ Pricing_2018-01-08'!C75</f>
        <v xml:space="preserve">Supply and install bedding and padding </v>
      </c>
      <c r="D75" s="727" t="str">
        <f>'Master BOQ Pricing_2018-01-08'!D75</f>
        <v>m</v>
      </c>
      <c r="E75" s="702">
        <f>'Master BOQ Pricing_2018-01-08'!E75</f>
        <v>8</v>
      </c>
      <c r="F75" s="703"/>
      <c r="G75" s="704">
        <f>+F75*E75</f>
        <v>0</v>
      </c>
      <c r="H75" s="728"/>
      <c r="I75" s="729"/>
      <c r="J75" s="728"/>
      <c r="K75" s="729"/>
      <c r="L75" s="728"/>
      <c r="M75" s="729"/>
      <c r="N75" s="728"/>
      <c r="O75" s="729"/>
      <c r="P75" s="728"/>
      <c r="Q75" s="730"/>
      <c r="R75" s="731"/>
      <c r="S75" s="729"/>
      <c r="T75" s="711"/>
      <c r="U75" s="732">
        <f>T75+F75</f>
        <v>0</v>
      </c>
      <c r="V75" s="733">
        <f>U75*E75</f>
        <v>0</v>
      </c>
      <c r="W75" s="710"/>
      <c r="X75" s="711"/>
      <c r="Y75" s="732">
        <f t="shared" si="2"/>
        <v>0</v>
      </c>
      <c r="Z75" s="733">
        <f t="shared" si="3"/>
        <v>0</v>
      </c>
      <c r="AA75" s="710"/>
      <c r="AB75" s="711"/>
      <c r="AC75" s="732">
        <f t="shared" si="4"/>
        <v>0</v>
      </c>
      <c r="AD75" s="733">
        <f t="shared" si="5"/>
        <v>0</v>
      </c>
      <c r="AE75" s="712"/>
      <c r="AF75" s="711"/>
      <c r="AG75" s="732">
        <f t="shared" si="6"/>
        <v>0</v>
      </c>
      <c r="AH75" s="733">
        <f t="shared" si="7"/>
        <v>0</v>
      </c>
      <c r="AI75" s="712"/>
      <c r="AJ75" s="708"/>
      <c r="AK75" s="733">
        <f t="shared" si="8"/>
        <v>0</v>
      </c>
      <c r="AL75" s="713"/>
    </row>
    <row r="76" spans="2:38" s="527" customFormat="1" outlineLevel="1">
      <c r="B76" s="699">
        <f>'Master BOQ Pricing_2018-01-08'!B76</f>
        <v>4.0199999999999996</v>
      </c>
      <c r="C76" s="700" t="str">
        <f>'Master BOQ Pricing_2018-01-08'!C76</f>
        <v xml:space="preserve">Supply and install of import backfilling material </v>
      </c>
      <c r="D76" s="727" t="str">
        <f>'Master BOQ Pricing_2018-01-08'!D76</f>
        <v>m³</v>
      </c>
      <c r="E76" s="702">
        <f>'Master BOQ Pricing_2018-01-08'!E76</f>
        <v>264</v>
      </c>
      <c r="F76" s="703"/>
      <c r="G76" s="704">
        <f t="shared" ref="G76:G80" si="49">+F76*E76</f>
        <v>0</v>
      </c>
      <c r="H76" s="728"/>
      <c r="I76" s="729"/>
      <c r="J76" s="728"/>
      <c r="K76" s="729"/>
      <c r="L76" s="728"/>
      <c r="M76" s="729"/>
      <c r="N76" s="728"/>
      <c r="O76" s="729"/>
      <c r="P76" s="728"/>
      <c r="Q76" s="730"/>
      <c r="R76" s="731"/>
      <c r="S76" s="729"/>
      <c r="T76" s="711"/>
      <c r="U76" s="732">
        <f t="shared" ref="U76:U80" si="50">T76+F76</f>
        <v>0</v>
      </c>
      <c r="V76" s="733">
        <f t="shared" ref="V76:V80" si="51">U76*E76</f>
        <v>0</v>
      </c>
      <c r="W76" s="710"/>
      <c r="X76" s="711"/>
      <c r="Y76" s="732">
        <f t="shared" si="2"/>
        <v>0</v>
      </c>
      <c r="Z76" s="733">
        <f t="shared" si="3"/>
        <v>0</v>
      </c>
      <c r="AA76" s="710"/>
      <c r="AB76" s="711"/>
      <c r="AC76" s="732">
        <f t="shared" si="4"/>
        <v>0</v>
      </c>
      <c r="AD76" s="733">
        <f t="shared" si="5"/>
        <v>0</v>
      </c>
      <c r="AE76" s="712"/>
      <c r="AF76" s="711"/>
      <c r="AG76" s="732">
        <f t="shared" si="6"/>
        <v>0</v>
      </c>
      <c r="AH76" s="733">
        <f t="shared" si="7"/>
        <v>0</v>
      </c>
      <c r="AI76" s="712"/>
      <c r="AJ76" s="708"/>
      <c r="AK76" s="733">
        <f t="shared" si="8"/>
        <v>0</v>
      </c>
      <c r="AL76" s="713"/>
    </row>
    <row r="77" spans="2:38" s="527" customFormat="1" outlineLevel="1">
      <c r="B77" s="699">
        <f>'Master BOQ Pricing_2018-01-08'!B77</f>
        <v>4.03</v>
      </c>
      <c r="C77" s="700" t="str">
        <f>'Master BOQ Pricing_2018-01-08'!C77</f>
        <v>Stabilizing backfilling material with cement (G2 Mix)</v>
      </c>
      <c r="D77" s="727" t="str">
        <f>'Master BOQ Pricing_2018-01-08'!D77</f>
        <v>m³</v>
      </c>
      <c r="E77" s="702">
        <f>'Master BOQ Pricing_2018-01-08'!E77</f>
        <v>180</v>
      </c>
      <c r="F77" s="703"/>
      <c r="G77" s="704">
        <f t="shared" si="49"/>
        <v>0</v>
      </c>
      <c r="H77" s="728"/>
      <c r="I77" s="729"/>
      <c r="J77" s="728"/>
      <c r="K77" s="729"/>
      <c r="L77" s="728"/>
      <c r="M77" s="729"/>
      <c r="N77" s="728"/>
      <c r="O77" s="729"/>
      <c r="P77" s="728"/>
      <c r="Q77" s="730"/>
      <c r="R77" s="731"/>
      <c r="S77" s="729"/>
      <c r="T77" s="711"/>
      <c r="U77" s="732">
        <f t="shared" si="50"/>
        <v>0</v>
      </c>
      <c r="V77" s="733">
        <f t="shared" si="51"/>
        <v>0</v>
      </c>
      <c r="W77" s="710"/>
      <c r="X77" s="711"/>
      <c r="Y77" s="732">
        <f t="shared" si="2"/>
        <v>0</v>
      </c>
      <c r="Z77" s="733">
        <f t="shared" si="3"/>
        <v>0</v>
      </c>
      <c r="AA77" s="710"/>
      <c r="AB77" s="711"/>
      <c r="AC77" s="732">
        <f t="shared" si="4"/>
        <v>0</v>
      </c>
      <c r="AD77" s="733">
        <f t="shared" si="5"/>
        <v>0</v>
      </c>
      <c r="AE77" s="712"/>
      <c r="AF77" s="711"/>
      <c r="AG77" s="732">
        <f t="shared" si="6"/>
        <v>0</v>
      </c>
      <c r="AH77" s="733">
        <f t="shared" si="7"/>
        <v>0</v>
      </c>
      <c r="AI77" s="712"/>
      <c r="AJ77" s="708"/>
      <c r="AK77" s="733">
        <f t="shared" si="8"/>
        <v>0</v>
      </c>
      <c r="AL77" s="713"/>
    </row>
    <row r="78" spans="2:38" s="527" customFormat="1" outlineLevel="1">
      <c r="B78" s="699">
        <f>'Master BOQ Pricing_2018-01-08'!B78</f>
        <v>4.04</v>
      </c>
      <c r="C78" s="700" t="str">
        <f>'Master BOQ Pricing_2018-01-08'!C78</f>
        <v>Concrete encasement of pipes (labour and 20 mpa concrete) 300mm width x 220mm depth</v>
      </c>
      <c r="D78" s="727" t="str">
        <f>'Master BOQ Pricing_2018-01-08'!D78</f>
        <v>m</v>
      </c>
      <c r="E78" s="702">
        <f>'Master BOQ Pricing_2018-01-08'!E78</f>
        <v>122.95</v>
      </c>
      <c r="F78" s="703"/>
      <c r="G78" s="704">
        <f t="shared" si="49"/>
        <v>0</v>
      </c>
      <c r="H78" s="728"/>
      <c r="I78" s="729"/>
      <c r="J78" s="728"/>
      <c r="K78" s="729"/>
      <c r="L78" s="728"/>
      <c r="M78" s="729"/>
      <c r="N78" s="728"/>
      <c r="O78" s="729"/>
      <c r="P78" s="728"/>
      <c r="Q78" s="730"/>
      <c r="R78" s="731"/>
      <c r="S78" s="729"/>
      <c r="T78" s="711"/>
      <c r="U78" s="732">
        <f t="shared" si="50"/>
        <v>0</v>
      </c>
      <c r="V78" s="733">
        <f t="shared" si="51"/>
        <v>0</v>
      </c>
      <c r="W78" s="710"/>
      <c r="X78" s="711"/>
      <c r="Y78" s="732">
        <f t="shared" si="2"/>
        <v>0</v>
      </c>
      <c r="Z78" s="733">
        <f t="shared" si="3"/>
        <v>0</v>
      </c>
      <c r="AA78" s="710"/>
      <c r="AB78" s="711"/>
      <c r="AC78" s="732">
        <f t="shared" si="4"/>
        <v>0</v>
      </c>
      <c r="AD78" s="733">
        <f t="shared" si="5"/>
        <v>0</v>
      </c>
      <c r="AE78" s="712"/>
      <c r="AF78" s="711"/>
      <c r="AG78" s="732">
        <f t="shared" si="6"/>
        <v>0</v>
      </c>
      <c r="AH78" s="733">
        <f t="shared" si="7"/>
        <v>0</v>
      </c>
      <c r="AI78" s="712"/>
      <c r="AJ78" s="708"/>
      <c r="AK78" s="733">
        <f t="shared" si="8"/>
        <v>0</v>
      </c>
      <c r="AL78" s="713"/>
    </row>
    <row r="79" spans="2:38" s="527" customFormat="1" outlineLevel="1">
      <c r="B79" s="699">
        <f>'Master BOQ Pricing_2018-01-08'!B79</f>
        <v>4.05</v>
      </c>
      <c r="C79" s="700" t="str">
        <f>'Master BOQ Pricing_2018-01-08'!C79</f>
        <v xml:space="preserve">Supply and install cast concrete slab for duct protection 300mm width x 100mm depth </v>
      </c>
      <c r="D79" s="727" t="str">
        <f>'Master BOQ Pricing_2018-01-08'!D79</f>
        <v>m</v>
      </c>
      <c r="E79" s="702">
        <f>'Master BOQ Pricing_2018-01-08'!E79</f>
        <v>70</v>
      </c>
      <c r="F79" s="703"/>
      <c r="G79" s="704">
        <f t="shared" si="49"/>
        <v>0</v>
      </c>
      <c r="H79" s="728"/>
      <c r="I79" s="729"/>
      <c r="J79" s="728"/>
      <c r="K79" s="729"/>
      <c r="L79" s="728"/>
      <c r="M79" s="729"/>
      <c r="N79" s="728"/>
      <c r="O79" s="729"/>
      <c r="P79" s="728"/>
      <c r="Q79" s="730"/>
      <c r="R79" s="731"/>
      <c r="S79" s="729"/>
      <c r="T79" s="711"/>
      <c r="U79" s="732">
        <f t="shared" si="50"/>
        <v>0</v>
      </c>
      <c r="V79" s="733">
        <f t="shared" si="51"/>
        <v>0</v>
      </c>
      <c r="W79" s="710"/>
      <c r="X79" s="711"/>
      <c r="Y79" s="732">
        <f t="shared" si="2"/>
        <v>0</v>
      </c>
      <c r="Z79" s="733">
        <f t="shared" si="3"/>
        <v>0</v>
      </c>
      <c r="AA79" s="710"/>
      <c r="AB79" s="711"/>
      <c r="AC79" s="732">
        <f t="shared" si="4"/>
        <v>0</v>
      </c>
      <c r="AD79" s="733">
        <f t="shared" si="5"/>
        <v>0</v>
      </c>
      <c r="AE79" s="712"/>
      <c r="AF79" s="711"/>
      <c r="AG79" s="732">
        <f t="shared" si="6"/>
        <v>0</v>
      </c>
      <c r="AH79" s="733">
        <f t="shared" si="7"/>
        <v>0</v>
      </c>
      <c r="AI79" s="712"/>
      <c r="AJ79" s="708"/>
      <c r="AK79" s="733">
        <f t="shared" si="8"/>
        <v>0</v>
      </c>
      <c r="AL79" s="713"/>
    </row>
    <row r="80" spans="2:38" s="527" customFormat="1" outlineLevel="1">
      <c r="B80" s="699">
        <f>'Master BOQ Pricing_2018-01-08'!B80</f>
        <v>4.0599999999999996</v>
      </c>
      <c r="C80" s="700" t="str">
        <f>'Master BOQ Pricing_2018-01-08'!C80</f>
        <v>Concrete encasement of pipes (labour and 20 mpa concrete) 100mm width x 100mm depth</v>
      </c>
      <c r="D80" s="727" t="str">
        <f>'Master BOQ Pricing_2018-01-08'!D80</f>
        <v>m</v>
      </c>
      <c r="E80" s="702">
        <f>'Master BOQ Pricing_2018-01-08'!E80</f>
        <v>24.18</v>
      </c>
      <c r="F80" s="703"/>
      <c r="G80" s="704">
        <f t="shared" si="49"/>
        <v>0</v>
      </c>
      <c r="H80" s="728"/>
      <c r="I80" s="729"/>
      <c r="J80" s="728"/>
      <c r="K80" s="729"/>
      <c r="L80" s="728"/>
      <c r="M80" s="729"/>
      <c r="N80" s="728"/>
      <c r="O80" s="729"/>
      <c r="P80" s="728"/>
      <c r="Q80" s="730"/>
      <c r="R80" s="731"/>
      <c r="S80" s="729"/>
      <c r="T80" s="711"/>
      <c r="U80" s="732">
        <f t="shared" si="50"/>
        <v>0</v>
      </c>
      <c r="V80" s="733">
        <f t="shared" si="51"/>
        <v>0</v>
      </c>
      <c r="W80" s="710"/>
      <c r="X80" s="711"/>
      <c r="Y80" s="732">
        <f t="shared" si="2"/>
        <v>0</v>
      </c>
      <c r="Z80" s="733">
        <f t="shared" si="3"/>
        <v>0</v>
      </c>
      <c r="AA80" s="710"/>
      <c r="AB80" s="711"/>
      <c r="AC80" s="732">
        <f t="shared" si="4"/>
        <v>0</v>
      </c>
      <c r="AD80" s="733">
        <f t="shared" si="5"/>
        <v>0</v>
      </c>
      <c r="AE80" s="712"/>
      <c r="AF80" s="711"/>
      <c r="AG80" s="732">
        <f t="shared" si="6"/>
        <v>0</v>
      </c>
      <c r="AH80" s="733">
        <f t="shared" si="7"/>
        <v>0</v>
      </c>
      <c r="AI80" s="712"/>
      <c r="AJ80" s="708"/>
      <c r="AK80" s="733">
        <f t="shared" si="8"/>
        <v>0</v>
      </c>
      <c r="AL80" s="713"/>
    </row>
    <row r="81" spans="2:38" s="527" customFormat="1">
      <c r="B81" s="741">
        <f>'Master BOQ Pricing_2018-01-08'!B81</f>
        <v>5</v>
      </c>
      <c r="C81" s="742" t="str">
        <f>'Master BOQ Pricing_2018-01-08'!C81</f>
        <v>SURFACE RE-INSTATEMENTS</v>
      </c>
      <c r="D81" s="764"/>
      <c r="E81" s="765"/>
      <c r="F81" s="745"/>
      <c r="G81" s="746">
        <f>SUBTOTAL(9,G83)</f>
        <v>0</v>
      </c>
      <c r="H81" s="747"/>
      <c r="I81" s="748"/>
      <c r="J81" s="747"/>
      <c r="K81" s="748"/>
      <c r="L81" s="747"/>
      <c r="M81" s="746">
        <f>SUBTOTAL(9,M82,M84:M89)</f>
        <v>0</v>
      </c>
      <c r="N81" s="747"/>
      <c r="O81" s="748"/>
      <c r="P81" s="747"/>
      <c r="Q81" s="749"/>
      <c r="R81" s="750"/>
      <c r="S81" s="748"/>
      <c r="T81" s="751"/>
      <c r="U81" s="752"/>
      <c r="V81" s="753"/>
      <c r="W81" s="754"/>
      <c r="X81" s="751"/>
      <c r="Y81" s="755"/>
      <c r="Z81" s="756"/>
      <c r="AA81" s="757"/>
      <c r="AB81" s="758"/>
      <c r="AC81" s="755"/>
      <c r="AD81" s="756"/>
      <c r="AE81" s="759"/>
      <c r="AF81" s="758"/>
      <c r="AG81" s="755"/>
      <c r="AH81" s="756"/>
      <c r="AI81" s="759"/>
      <c r="AJ81" s="760"/>
      <c r="AK81" s="756"/>
      <c r="AL81" s="761"/>
    </row>
    <row r="82" spans="2:38" s="527" customFormat="1" outlineLevel="1">
      <c r="B82" s="699">
        <f>'Master BOQ Pricing_2018-01-08'!B82</f>
        <v>5.01</v>
      </c>
      <c r="C82" s="700" t="str">
        <f>'Master BOQ Pricing_2018-01-08'!C82</f>
        <v xml:space="preserve">Re-instatement of asphalt and crusher 300mm width   ≤ 100mm thick </v>
      </c>
      <c r="D82" s="727" t="str">
        <f>'Master BOQ Pricing_2018-01-08'!D82</f>
        <v>m</v>
      </c>
      <c r="E82" s="702">
        <f>'Master BOQ Pricing_2018-01-08'!E82</f>
        <v>172.97</v>
      </c>
      <c r="F82" s="762"/>
      <c r="G82" s="729"/>
      <c r="H82" s="728"/>
      <c r="I82" s="729"/>
      <c r="J82" s="728"/>
      <c r="K82" s="729"/>
      <c r="L82" s="766"/>
      <c r="M82" s="704">
        <f>+L82*$E82</f>
        <v>0</v>
      </c>
      <c r="N82" s="767"/>
      <c r="O82" s="729"/>
      <c r="P82" s="767"/>
      <c r="Q82" s="768"/>
      <c r="R82" s="769"/>
      <c r="S82" s="729"/>
      <c r="T82" s="711"/>
      <c r="U82" s="732">
        <f>T82+L82</f>
        <v>0</v>
      </c>
      <c r="V82" s="733">
        <f>U82*E82</f>
        <v>0</v>
      </c>
      <c r="W82" s="710"/>
      <c r="X82" s="711"/>
      <c r="Y82" s="732">
        <f t="shared" si="2"/>
        <v>0</v>
      </c>
      <c r="Z82" s="733">
        <f t="shared" si="3"/>
        <v>0</v>
      </c>
      <c r="AA82" s="710"/>
      <c r="AB82" s="711"/>
      <c r="AC82" s="732">
        <f t="shared" si="4"/>
        <v>0</v>
      </c>
      <c r="AD82" s="733">
        <f t="shared" si="5"/>
        <v>0</v>
      </c>
      <c r="AE82" s="712"/>
      <c r="AF82" s="711"/>
      <c r="AG82" s="732">
        <f t="shared" si="6"/>
        <v>0</v>
      </c>
      <c r="AH82" s="733">
        <f t="shared" si="7"/>
        <v>0</v>
      </c>
      <c r="AI82" s="712"/>
      <c r="AJ82" s="708"/>
      <c r="AK82" s="733">
        <f t="shared" si="8"/>
        <v>0</v>
      </c>
      <c r="AL82" s="713"/>
    </row>
    <row r="83" spans="2:38" s="527" customFormat="1" outlineLevel="1">
      <c r="B83" s="699" t="str">
        <f>'Master BOQ Pricing_2018-01-08'!B83</f>
        <v>5,01,1</v>
      </c>
      <c r="C83" s="700" t="str">
        <f>'Master BOQ Pricing_2018-01-08'!C83</f>
        <v>ISP Trenching Capping</v>
      </c>
      <c r="D83" s="727" t="str">
        <f>'Master BOQ Pricing_2018-01-08'!D83</f>
        <v>m</v>
      </c>
      <c r="E83" s="702">
        <f>'Master BOQ Pricing_2018-01-08'!E83</f>
        <v>36.89</v>
      </c>
      <c r="F83" s="766"/>
      <c r="G83" s="704">
        <f>+F83*$E83</f>
        <v>0</v>
      </c>
      <c r="H83" s="728"/>
      <c r="I83" s="729"/>
      <c r="J83" s="728"/>
      <c r="K83" s="729"/>
      <c r="L83" s="728"/>
      <c r="M83" s="729"/>
      <c r="N83" s="767"/>
      <c r="O83" s="729"/>
      <c r="P83" s="767"/>
      <c r="Q83" s="768"/>
      <c r="R83" s="769"/>
      <c r="S83" s="729"/>
      <c r="T83" s="711"/>
      <c r="U83" s="732">
        <f>T83+F83</f>
        <v>0</v>
      </c>
      <c r="V83" s="733">
        <f>U83*E83</f>
        <v>0</v>
      </c>
      <c r="W83" s="710"/>
      <c r="X83" s="711"/>
      <c r="Y83" s="732">
        <f t="shared" ref="Y83" si="52">X83+U83</f>
        <v>0</v>
      </c>
      <c r="Z83" s="733">
        <f t="shared" ref="Z83" si="53">Y83*E83</f>
        <v>0</v>
      </c>
      <c r="AA83" s="710"/>
      <c r="AB83" s="711"/>
      <c r="AC83" s="732">
        <f t="shared" ref="AC83" si="54">AB83+Y83</f>
        <v>0</v>
      </c>
      <c r="AD83" s="733">
        <f t="shared" ref="AD83" si="55">AC83*E83</f>
        <v>0</v>
      </c>
      <c r="AE83" s="712"/>
      <c r="AF83" s="711"/>
      <c r="AG83" s="732">
        <f t="shared" ref="AG83" si="56">AF83+AC83</f>
        <v>0</v>
      </c>
      <c r="AH83" s="733">
        <f t="shared" ref="AH83" si="57">AG83*E83</f>
        <v>0</v>
      </c>
      <c r="AI83" s="712"/>
      <c r="AJ83" s="708"/>
      <c r="AK83" s="733">
        <f t="shared" ref="AK83" si="58">AJ83*E83</f>
        <v>0</v>
      </c>
      <c r="AL83" s="713"/>
    </row>
    <row r="84" spans="2:38" s="527" customFormat="1" outlineLevel="1">
      <c r="B84" s="699">
        <f>'Master BOQ Pricing_2018-01-08'!B84</f>
        <v>5.0199999999999996</v>
      </c>
      <c r="C84" s="700" t="str">
        <f>'Master BOQ Pricing_2018-01-08'!C84</f>
        <v>Re-instatement of  concrete (18Mpa) 300mm width   ≤ 100mm thick</v>
      </c>
      <c r="D84" s="727" t="str">
        <f>'Master BOQ Pricing_2018-01-08'!D84</f>
        <v>m</v>
      </c>
      <c r="E84" s="702">
        <f>'Master BOQ Pricing_2018-01-08'!E84</f>
        <v>94.76</v>
      </c>
      <c r="F84" s="762"/>
      <c r="G84" s="729"/>
      <c r="H84" s="728"/>
      <c r="I84" s="729"/>
      <c r="J84" s="728"/>
      <c r="K84" s="729"/>
      <c r="L84" s="766"/>
      <c r="M84" s="704">
        <f t="shared" ref="M84:M89" si="59">+L84*$E84</f>
        <v>0</v>
      </c>
      <c r="N84" s="767"/>
      <c r="O84" s="729"/>
      <c r="P84" s="767"/>
      <c r="Q84" s="768"/>
      <c r="R84" s="769"/>
      <c r="S84" s="729"/>
      <c r="T84" s="711"/>
      <c r="U84" s="732">
        <f t="shared" ref="U84:U89" si="60">T84+L84</f>
        <v>0</v>
      </c>
      <c r="V84" s="733">
        <f t="shared" ref="V84:V89" si="61">U84*E84</f>
        <v>0</v>
      </c>
      <c r="W84" s="710"/>
      <c r="X84" s="711"/>
      <c r="Y84" s="732">
        <f t="shared" si="2"/>
        <v>0</v>
      </c>
      <c r="Z84" s="733">
        <f t="shared" si="3"/>
        <v>0</v>
      </c>
      <c r="AA84" s="710"/>
      <c r="AB84" s="711"/>
      <c r="AC84" s="732">
        <f t="shared" si="4"/>
        <v>0</v>
      </c>
      <c r="AD84" s="733">
        <f t="shared" si="5"/>
        <v>0</v>
      </c>
      <c r="AE84" s="712"/>
      <c r="AF84" s="711"/>
      <c r="AG84" s="732">
        <f t="shared" si="6"/>
        <v>0</v>
      </c>
      <c r="AH84" s="733">
        <f t="shared" si="7"/>
        <v>0</v>
      </c>
      <c r="AI84" s="712"/>
      <c r="AJ84" s="708"/>
      <c r="AK84" s="733">
        <f t="shared" si="8"/>
        <v>0</v>
      </c>
      <c r="AL84" s="713"/>
    </row>
    <row r="85" spans="2:38" s="527" customFormat="1" outlineLevel="1">
      <c r="B85" s="699">
        <f>'Master BOQ Pricing_2018-01-08'!B85</f>
        <v>5.03</v>
      </c>
      <c r="C85" s="700" t="str">
        <f>'Master BOQ Pricing_2018-01-08'!C85</f>
        <v xml:space="preserve">Re-instatement of asphalt  ≤ 100mm thick </v>
      </c>
      <c r="D85" s="727" t="str">
        <f>'Master BOQ Pricing_2018-01-08'!D85</f>
        <v>m²</v>
      </c>
      <c r="E85" s="702">
        <f>'Master BOQ Pricing_2018-01-08'!E85</f>
        <v>318.72000000000003</v>
      </c>
      <c r="F85" s="762"/>
      <c r="G85" s="729"/>
      <c r="H85" s="728"/>
      <c r="I85" s="729"/>
      <c r="J85" s="728"/>
      <c r="K85" s="729"/>
      <c r="L85" s="766"/>
      <c r="M85" s="704">
        <f t="shared" si="59"/>
        <v>0</v>
      </c>
      <c r="N85" s="728"/>
      <c r="O85" s="729"/>
      <c r="P85" s="728"/>
      <c r="Q85" s="730"/>
      <c r="R85" s="731"/>
      <c r="S85" s="729"/>
      <c r="T85" s="711"/>
      <c r="U85" s="732">
        <f t="shared" si="60"/>
        <v>0</v>
      </c>
      <c r="V85" s="733">
        <f t="shared" si="61"/>
        <v>0</v>
      </c>
      <c r="W85" s="710"/>
      <c r="X85" s="711"/>
      <c r="Y85" s="732">
        <f t="shared" si="2"/>
        <v>0</v>
      </c>
      <c r="Z85" s="733">
        <f t="shared" si="3"/>
        <v>0</v>
      </c>
      <c r="AA85" s="710"/>
      <c r="AB85" s="711"/>
      <c r="AC85" s="732">
        <f t="shared" si="4"/>
        <v>0</v>
      </c>
      <c r="AD85" s="733">
        <f t="shared" si="5"/>
        <v>0</v>
      </c>
      <c r="AE85" s="712"/>
      <c r="AF85" s="711"/>
      <c r="AG85" s="732">
        <f t="shared" si="6"/>
        <v>0</v>
      </c>
      <c r="AH85" s="733">
        <f t="shared" si="7"/>
        <v>0</v>
      </c>
      <c r="AI85" s="712"/>
      <c r="AJ85" s="708"/>
      <c r="AK85" s="733">
        <f t="shared" si="8"/>
        <v>0</v>
      </c>
      <c r="AL85" s="713"/>
    </row>
    <row r="86" spans="2:38" s="528" customFormat="1" outlineLevel="1">
      <c r="B86" s="699">
        <f>'Master BOQ Pricing_2018-01-08'!B86</f>
        <v>5.04</v>
      </c>
      <c r="C86" s="700" t="str">
        <f>'Master BOQ Pricing_2018-01-08'!C86</f>
        <v>Re-instatement of asphalt  or concrete (And crusher) (20 Mpa)  300mm width   &gt;100mm thick - ROAD</v>
      </c>
      <c r="D86" s="727" t="str">
        <f>'Master BOQ Pricing_2018-01-08'!D86</f>
        <v>m</v>
      </c>
      <c r="E86" s="702">
        <f>'Master BOQ Pricing_2018-01-08'!E86</f>
        <v>297.5</v>
      </c>
      <c r="F86" s="762"/>
      <c r="G86" s="729"/>
      <c r="H86" s="728"/>
      <c r="I86" s="729"/>
      <c r="J86" s="728"/>
      <c r="K86" s="729"/>
      <c r="L86" s="770">
        <f>F25+F28+F29+F30+F41+F42+F43+F44</f>
        <v>0</v>
      </c>
      <c r="M86" s="704">
        <f t="shared" si="59"/>
        <v>0</v>
      </c>
      <c r="N86" s="728"/>
      <c r="O86" s="729"/>
      <c r="P86" s="728"/>
      <c r="Q86" s="730"/>
      <c r="R86" s="731"/>
      <c r="S86" s="729"/>
      <c r="T86" s="711"/>
      <c r="U86" s="732">
        <f t="shared" si="60"/>
        <v>0</v>
      </c>
      <c r="V86" s="733">
        <f t="shared" si="61"/>
        <v>0</v>
      </c>
      <c r="W86" s="710"/>
      <c r="X86" s="711"/>
      <c r="Y86" s="732">
        <f t="shared" si="2"/>
        <v>0</v>
      </c>
      <c r="Z86" s="733">
        <f t="shared" si="3"/>
        <v>0</v>
      </c>
      <c r="AA86" s="710"/>
      <c r="AB86" s="711"/>
      <c r="AC86" s="732">
        <f t="shared" si="4"/>
        <v>0</v>
      </c>
      <c r="AD86" s="733">
        <f t="shared" si="5"/>
        <v>0</v>
      </c>
      <c r="AE86" s="712"/>
      <c r="AF86" s="711"/>
      <c r="AG86" s="732">
        <f t="shared" si="6"/>
        <v>0</v>
      </c>
      <c r="AH86" s="733">
        <f t="shared" si="7"/>
        <v>0</v>
      </c>
      <c r="AI86" s="712"/>
      <c r="AJ86" s="708"/>
      <c r="AK86" s="733">
        <f t="shared" si="8"/>
        <v>0</v>
      </c>
      <c r="AL86" s="713"/>
    </row>
    <row r="87" spans="2:38" s="528" customFormat="1" outlineLevel="1">
      <c r="B87" s="699">
        <f>'Master BOQ Pricing_2018-01-08'!B87</f>
        <v>5.05</v>
      </c>
      <c r="C87" s="700" t="str">
        <f>'Master BOQ Pricing_2018-01-08'!C87</f>
        <v xml:space="preserve">Surface re-instatement - tiles  paving  inter locking brick and Slabbed paving </v>
      </c>
      <c r="D87" s="727" t="str">
        <f>'Master BOQ Pricing_2018-01-08'!D87</f>
        <v>m²</v>
      </c>
      <c r="E87" s="702">
        <f>'Master BOQ Pricing_2018-01-08'!E87</f>
        <v>95</v>
      </c>
      <c r="F87" s="762"/>
      <c r="G87" s="729"/>
      <c r="H87" s="735"/>
      <c r="I87" s="736"/>
      <c r="J87" s="735"/>
      <c r="K87" s="736"/>
      <c r="L87" s="771">
        <f>F61</f>
        <v>0</v>
      </c>
      <c r="M87" s="704">
        <f t="shared" si="59"/>
        <v>0</v>
      </c>
      <c r="N87" s="735"/>
      <c r="O87" s="736"/>
      <c r="P87" s="735"/>
      <c r="Q87" s="737"/>
      <c r="R87" s="738"/>
      <c r="S87" s="736"/>
      <c r="T87" s="739"/>
      <c r="U87" s="732">
        <f t="shared" si="60"/>
        <v>0</v>
      </c>
      <c r="V87" s="733">
        <f t="shared" si="61"/>
        <v>0</v>
      </c>
      <c r="W87" s="740"/>
      <c r="X87" s="739"/>
      <c r="Y87" s="732">
        <f t="shared" si="2"/>
        <v>0</v>
      </c>
      <c r="Z87" s="733">
        <f t="shared" si="3"/>
        <v>0</v>
      </c>
      <c r="AA87" s="710"/>
      <c r="AB87" s="711"/>
      <c r="AC87" s="732">
        <f t="shared" si="4"/>
        <v>0</v>
      </c>
      <c r="AD87" s="733">
        <f t="shared" si="5"/>
        <v>0</v>
      </c>
      <c r="AE87" s="712"/>
      <c r="AF87" s="711"/>
      <c r="AG87" s="732">
        <f t="shared" si="6"/>
        <v>0</v>
      </c>
      <c r="AH87" s="733">
        <f t="shared" si="7"/>
        <v>0</v>
      </c>
      <c r="AI87" s="712"/>
      <c r="AJ87" s="708"/>
      <c r="AK87" s="733">
        <f t="shared" si="8"/>
        <v>0</v>
      </c>
      <c r="AL87" s="713"/>
    </row>
    <row r="88" spans="2:38" s="527" customFormat="1" outlineLevel="1">
      <c r="B88" s="699">
        <f>'Master BOQ Pricing_2018-01-08'!B88</f>
        <v>5.0599999999999996</v>
      </c>
      <c r="C88" s="700" t="str">
        <f>'Master BOQ Pricing_2018-01-08'!C88</f>
        <v xml:space="preserve">Re-instatement of grass </v>
      </c>
      <c r="D88" s="727" t="str">
        <f>'Master BOQ Pricing_2018-01-08'!D88</f>
        <v>m</v>
      </c>
      <c r="E88" s="702">
        <f>'Master BOQ Pricing_2018-01-08'!E88</f>
        <v>20</v>
      </c>
      <c r="F88" s="762"/>
      <c r="G88" s="729"/>
      <c r="H88" s="728"/>
      <c r="I88" s="729"/>
      <c r="J88" s="728"/>
      <c r="K88" s="729"/>
      <c r="L88" s="766"/>
      <c r="M88" s="704">
        <f t="shared" si="59"/>
        <v>0</v>
      </c>
      <c r="N88" s="728"/>
      <c r="O88" s="729"/>
      <c r="P88" s="728"/>
      <c r="Q88" s="730"/>
      <c r="R88" s="731"/>
      <c r="S88" s="729"/>
      <c r="T88" s="711"/>
      <c r="U88" s="732">
        <f t="shared" si="60"/>
        <v>0</v>
      </c>
      <c r="V88" s="733">
        <f t="shared" si="61"/>
        <v>0</v>
      </c>
      <c r="W88" s="710"/>
      <c r="X88" s="711"/>
      <c r="Y88" s="732">
        <f t="shared" si="2"/>
        <v>0</v>
      </c>
      <c r="Z88" s="733">
        <f t="shared" si="3"/>
        <v>0</v>
      </c>
      <c r="AA88" s="710"/>
      <c r="AB88" s="711"/>
      <c r="AC88" s="732">
        <f t="shared" si="4"/>
        <v>0</v>
      </c>
      <c r="AD88" s="733">
        <f t="shared" si="5"/>
        <v>0</v>
      </c>
      <c r="AE88" s="712"/>
      <c r="AF88" s="711"/>
      <c r="AG88" s="732">
        <f t="shared" si="6"/>
        <v>0</v>
      </c>
      <c r="AH88" s="733">
        <f t="shared" si="7"/>
        <v>0</v>
      </c>
      <c r="AI88" s="712"/>
      <c r="AJ88" s="708"/>
      <c r="AK88" s="733">
        <f t="shared" si="8"/>
        <v>0</v>
      </c>
      <c r="AL88" s="713"/>
    </row>
    <row r="89" spans="2:38" s="527" customFormat="1" outlineLevel="1">
      <c r="B89" s="699">
        <f>'Master BOQ Pricing_2018-01-08'!B89</f>
        <v>5.07</v>
      </c>
      <c r="C89" s="700" t="str">
        <f>'Master BOQ Pricing_2018-01-08'!C89</f>
        <v>Re-establishment of vegetation  landscaping and seedlings</v>
      </c>
      <c r="D89" s="727" t="str">
        <f>'Master BOQ Pricing_2018-01-08'!D89</f>
        <v>m</v>
      </c>
      <c r="E89" s="702">
        <f>'Master BOQ Pricing_2018-01-08'!E89</f>
        <v>48</v>
      </c>
      <c r="F89" s="762"/>
      <c r="G89" s="729"/>
      <c r="H89" s="728"/>
      <c r="I89" s="729"/>
      <c r="J89" s="728"/>
      <c r="K89" s="729"/>
      <c r="L89" s="766"/>
      <c r="M89" s="704">
        <f t="shared" si="59"/>
        <v>0</v>
      </c>
      <c r="N89" s="728"/>
      <c r="O89" s="729"/>
      <c r="P89" s="728"/>
      <c r="Q89" s="730"/>
      <c r="R89" s="731"/>
      <c r="S89" s="729"/>
      <c r="T89" s="711"/>
      <c r="U89" s="732">
        <f t="shared" si="60"/>
        <v>0</v>
      </c>
      <c r="V89" s="733">
        <f t="shared" si="61"/>
        <v>0</v>
      </c>
      <c r="W89" s="710"/>
      <c r="X89" s="711"/>
      <c r="Y89" s="732">
        <f t="shared" si="2"/>
        <v>0</v>
      </c>
      <c r="Z89" s="733">
        <f t="shared" si="3"/>
        <v>0</v>
      </c>
      <c r="AA89" s="710"/>
      <c r="AB89" s="711"/>
      <c r="AC89" s="732">
        <f t="shared" si="4"/>
        <v>0</v>
      </c>
      <c r="AD89" s="733">
        <f t="shared" si="5"/>
        <v>0</v>
      </c>
      <c r="AE89" s="712"/>
      <c r="AF89" s="711"/>
      <c r="AG89" s="732">
        <f t="shared" si="6"/>
        <v>0</v>
      </c>
      <c r="AH89" s="733">
        <f t="shared" si="7"/>
        <v>0</v>
      </c>
      <c r="AI89" s="712"/>
      <c r="AJ89" s="708"/>
      <c r="AK89" s="733">
        <f t="shared" si="8"/>
        <v>0</v>
      </c>
      <c r="AL89" s="713"/>
    </row>
    <row r="90" spans="2:38" s="527" customFormat="1">
      <c r="B90" s="741">
        <f>'Master BOQ Pricing_2018-01-08'!B90</f>
        <v>6</v>
      </c>
      <c r="C90" s="742" t="str">
        <f>'Master BOQ Pricing_2018-01-08'!C90</f>
        <v>MANHOLES</v>
      </c>
      <c r="D90" s="764"/>
      <c r="E90" s="765"/>
      <c r="F90" s="745"/>
      <c r="G90" s="746">
        <f>SUBTOTAL(9,G91:G114)</f>
        <v>0</v>
      </c>
      <c r="H90" s="747"/>
      <c r="I90" s="748"/>
      <c r="J90" s="747"/>
      <c r="K90" s="748"/>
      <c r="L90" s="747"/>
      <c r="M90" s="748"/>
      <c r="N90" s="747"/>
      <c r="O90" s="748"/>
      <c r="P90" s="747"/>
      <c r="Q90" s="749"/>
      <c r="R90" s="750"/>
      <c r="S90" s="748"/>
      <c r="T90" s="751"/>
      <c r="U90" s="752"/>
      <c r="V90" s="753"/>
      <c r="W90" s="754"/>
      <c r="X90" s="751"/>
      <c r="Y90" s="755"/>
      <c r="Z90" s="756"/>
      <c r="AA90" s="757"/>
      <c r="AB90" s="758"/>
      <c r="AC90" s="755"/>
      <c r="AD90" s="756"/>
      <c r="AE90" s="759"/>
      <c r="AF90" s="758"/>
      <c r="AG90" s="755"/>
      <c r="AH90" s="756"/>
      <c r="AI90" s="759"/>
      <c r="AJ90" s="760"/>
      <c r="AK90" s="756"/>
      <c r="AL90" s="761"/>
    </row>
    <row r="91" spans="2:38" s="528" customFormat="1" ht="27.75" customHeight="1" outlineLevel="1">
      <c r="B91" s="699">
        <f>'Master BOQ Pricing_2018-01-08'!B91</f>
        <v>6.01</v>
      </c>
      <c r="C91" s="700" t="str">
        <f>'Master BOQ Pricing_2018-01-08'!C91</f>
        <v>Supply and install small concrete precast manhole  including rings with knockouts and precast cover    (Internal dimensions 1000mm (diameter)x500mm (Depth)  with knockouts  wall thickness 65mm to 75mm)</v>
      </c>
      <c r="D91" s="727" t="str">
        <f>'Master BOQ Pricing_2018-01-08'!D91</f>
        <v>ea</v>
      </c>
      <c r="E91" s="702">
        <f>'Master BOQ Pricing_2018-01-08'!E91</f>
        <v>2287.6999999999998</v>
      </c>
      <c r="F91" s="703"/>
      <c r="G91" s="704">
        <f>+F91*E91</f>
        <v>0</v>
      </c>
      <c r="H91" s="728"/>
      <c r="I91" s="729"/>
      <c r="J91" s="728"/>
      <c r="K91" s="729"/>
      <c r="L91" s="728"/>
      <c r="M91" s="729"/>
      <c r="N91" s="728"/>
      <c r="O91" s="729"/>
      <c r="P91" s="728"/>
      <c r="Q91" s="730"/>
      <c r="R91" s="731"/>
      <c r="S91" s="729"/>
      <c r="T91" s="711"/>
      <c r="U91" s="732">
        <f>T91+F91</f>
        <v>0</v>
      </c>
      <c r="V91" s="733">
        <f>U91*E91</f>
        <v>0</v>
      </c>
      <c r="W91" s="710"/>
      <c r="X91" s="711"/>
      <c r="Y91" s="732">
        <f t="shared" si="2"/>
        <v>0</v>
      </c>
      <c r="Z91" s="733">
        <f t="shared" si="3"/>
        <v>0</v>
      </c>
      <c r="AA91" s="710"/>
      <c r="AB91" s="711"/>
      <c r="AC91" s="732">
        <f t="shared" si="4"/>
        <v>0</v>
      </c>
      <c r="AD91" s="733">
        <f t="shared" si="5"/>
        <v>0</v>
      </c>
      <c r="AE91" s="712"/>
      <c r="AF91" s="711"/>
      <c r="AG91" s="732">
        <f t="shared" si="6"/>
        <v>0</v>
      </c>
      <c r="AH91" s="733">
        <f t="shared" si="7"/>
        <v>0</v>
      </c>
      <c r="AI91" s="712"/>
      <c r="AJ91" s="708"/>
      <c r="AK91" s="733">
        <f t="shared" si="8"/>
        <v>0</v>
      </c>
      <c r="AL91" s="713"/>
    </row>
    <row r="92" spans="2:38" s="528" customFormat="1" ht="27.75" customHeight="1" outlineLevel="1">
      <c r="B92" s="699">
        <f>'Master BOQ Pricing_2018-01-08'!B92</f>
        <v>6.02</v>
      </c>
      <c r="C92" s="700" t="str">
        <f>'Master BOQ Pricing_2018-01-08'!C92</f>
        <v>Install large concrete precast manhole  including rings with knockouts and precast cover (Internal dimensions 1000mm (diameter)x1000mm (Depth)  with knockouts  wall thickness 65mm to 75mm)</v>
      </c>
      <c r="D92" s="727" t="str">
        <f>'Master BOQ Pricing_2018-01-08'!D92</f>
        <v>ea</v>
      </c>
      <c r="E92" s="702">
        <f>'Master BOQ Pricing_2018-01-08'!E92</f>
        <v>1452.57</v>
      </c>
      <c r="F92" s="772">
        <f>'ROUTE INFO'!F10</f>
        <v>0</v>
      </c>
      <c r="G92" s="704">
        <f>+F92*E92</f>
        <v>0</v>
      </c>
      <c r="H92" s="728"/>
      <c r="I92" s="729"/>
      <c r="J92" s="728"/>
      <c r="K92" s="729"/>
      <c r="L92" s="728"/>
      <c r="M92" s="729"/>
      <c r="N92" s="728"/>
      <c r="O92" s="729"/>
      <c r="P92" s="728"/>
      <c r="Q92" s="730"/>
      <c r="R92" s="731"/>
      <c r="S92" s="729"/>
      <c r="T92" s="711"/>
      <c r="U92" s="732">
        <f>T92+F92</f>
        <v>0</v>
      </c>
      <c r="V92" s="733">
        <f>U92*E92</f>
        <v>0</v>
      </c>
      <c r="W92" s="710"/>
      <c r="X92" s="711"/>
      <c r="Y92" s="732">
        <f t="shared" ref="Y92" si="62">X92+U92</f>
        <v>0</v>
      </c>
      <c r="Z92" s="733">
        <f t="shared" ref="Z92" si="63">Y92*E92</f>
        <v>0</v>
      </c>
      <c r="AA92" s="710"/>
      <c r="AB92" s="711"/>
      <c r="AC92" s="732">
        <f t="shared" ref="AC92" si="64">AB92+Y92</f>
        <v>0</v>
      </c>
      <c r="AD92" s="733">
        <f t="shared" ref="AD92" si="65">AC92*E92</f>
        <v>0</v>
      </c>
      <c r="AE92" s="712"/>
      <c r="AF92" s="711"/>
      <c r="AG92" s="732">
        <f t="shared" ref="AG92" si="66">AF92+AC92</f>
        <v>0</v>
      </c>
      <c r="AH92" s="733">
        <f t="shared" ref="AH92" si="67">AG92*E92</f>
        <v>0</v>
      </c>
      <c r="AI92" s="712"/>
      <c r="AJ92" s="708"/>
      <c r="AK92" s="733">
        <f t="shared" ref="AK92" si="68">AJ92*E92</f>
        <v>0</v>
      </c>
      <c r="AL92" s="713"/>
    </row>
    <row r="93" spans="2:38" s="528" customFormat="1" ht="27.6" outlineLevel="1">
      <c r="B93" s="699">
        <f>'Master BOQ Pricing_2018-01-08'!B93</f>
        <v>6.03</v>
      </c>
      <c r="C93" s="700" t="str">
        <f>'Master BOQ Pricing_2018-01-08'!C93</f>
        <v>Install small concrete precast manhole  including rings with knockouts and precast cover (Internal dimensions 1000mm (diameter)x500mm (Depth)  with knockouts  wall thickness 65mm to 75mm)</v>
      </c>
      <c r="D93" s="727" t="str">
        <f>'Master BOQ Pricing_2018-01-08'!D93</f>
        <v>ea</v>
      </c>
      <c r="E93" s="702">
        <f>'Master BOQ Pricing_2018-01-08'!E93</f>
        <v>1187.7</v>
      </c>
      <c r="F93" s="772">
        <f>'ROUTE INFO'!F11</f>
        <v>0</v>
      </c>
      <c r="G93" s="704">
        <f t="shared" ref="G93:G111" si="69">+F93*E93</f>
        <v>0</v>
      </c>
      <c r="H93" s="728"/>
      <c r="I93" s="729"/>
      <c r="J93" s="728"/>
      <c r="K93" s="729"/>
      <c r="L93" s="728"/>
      <c r="M93" s="729"/>
      <c r="N93" s="728"/>
      <c r="O93" s="729"/>
      <c r="P93" s="728"/>
      <c r="Q93" s="730"/>
      <c r="R93" s="731"/>
      <c r="S93" s="729"/>
      <c r="T93" s="711"/>
      <c r="U93" s="732">
        <f t="shared" ref="U93:U108" si="70">T93+F93</f>
        <v>0</v>
      </c>
      <c r="V93" s="733">
        <f t="shared" ref="V93:V108" si="71">U93*E93</f>
        <v>0</v>
      </c>
      <c r="W93" s="710"/>
      <c r="X93" s="711"/>
      <c r="Y93" s="732">
        <f t="shared" si="2"/>
        <v>0</v>
      </c>
      <c r="Z93" s="733">
        <f t="shared" si="3"/>
        <v>0</v>
      </c>
      <c r="AA93" s="710"/>
      <c r="AB93" s="711"/>
      <c r="AC93" s="732">
        <f t="shared" si="4"/>
        <v>0</v>
      </c>
      <c r="AD93" s="733">
        <f t="shared" si="5"/>
        <v>0</v>
      </c>
      <c r="AE93" s="712"/>
      <c r="AF93" s="711"/>
      <c r="AG93" s="732">
        <f t="shared" si="6"/>
        <v>0</v>
      </c>
      <c r="AH93" s="733">
        <f t="shared" si="7"/>
        <v>0</v>
      </c>
      <c r="AI93" s="712"/>
      <c r="AJ93" s="708"/>
      <c r="AK93" s="733">
        <f t="shared" si="8"/>
        <v>0</v>
      </c>
      <c r="AL93" s="713"/>
    </row>
    <row r="94" spans="2:38" s="528" customFormat="1" ht="27.6" outlineLevel="1">
      <c r="B94" s="699" t="str">
        <f>'Master BOQ Pricing_2018-01-08'!B94</f>
        <v>6,03,1</v>
      </c>
      <c r="C94" s="700" t="str">
        <f>'Master BOQ Pricing_2018-01-08'!C94</f>
        <v>Reposition or Install small concrete precast manhole  including rings with knockouts and precast cover (Internal dimensions 1000mm (diameter)x500mm (Depth)  with knockouts  wall thickness 65mm to 75mm)</v>
      </c>
      <c r="D94" s="727" t="str">
        <f>'Master BOQ Pricing_2018-01-08'!D94</f>
        <v>ea</v>
      </c>
      <c r="E94" s="702">
        <f>'Master BOQ Pricing_2018-01-08'!E94</f>
        <v>1187.7</v>
      </c>
      <c r="F94" s="703"/>
      <c r="G94" s="704">
        <f t="shared" si="69"/>
        <v>0</v>
      </c>
      <c r="H94" s="728"/>
      <c r="I94" s="729"/>
      <c r="J94" s="728"/>
      <c r="K94" s="729"/>
      <c r="L94" s="728"/>
      <c r="M94" s="729"/>
      <c r="N94" s="728"/>
      <c r="O94" s="729"/>
      <c r="P94" s="728"/>
      <c r="Q94" s="730"/>
      <c r="R94" s="731"/>
      <c r="S94" s="729"/>
      <c r="T94" s="711"/>
      <c r="U94" s="732">
        <f t="shared" ref="U94:U95" si="72">T94+F94</f>
        <v>0</v>
      </c>
      <c r="V94" s="733">
        <f t="shared" ref="V94:V95" si="73">U94*E94</f>
        <v>0</v>
      </c>
      <c r="W94" s="710"/>
      <c r="X94" s="711"/>
      <c r="Y94" s="732">
        <f t="shared" ref="Y94:Y95" si="74">X94+U94</f>
        <v>0</v>
      </c>
      <c r="Z94" s="733">
        <f t="shared" ref="Z94:Z95" si="75">Y94*E94</f>
        <v>0</v>
      </c>
      <c r="AA94" s="710"/>
      <c r="AB94" s="711"/>
      <c r="AC94" s="732">
        <f t="shared" ref="AC94:AC95" si="76">AB94+Y94</f>
        <v>0</v>
      </c>
      <c r="AD94" s="733">
        <f t="shared" ref="AD94:AD95" si="77">AC94*E94</f>
        <v>0</v>
      </c>
      <c r="AE94" s="712"/>
      <c r="AF94" s="711"/>
      <c r="AG94" s="732">
        <f t="shared" ref="AG94:AG95" si="78">AF94+AC94</f>
        <v>0</v>
      </c>
      <c r="AH94" s="733">
        <f t="shared" ref="AH94:AH95" si="79">AG94*E94</f>
        <v>0</v>
      </c>
      <c r="AI94" s="712"/>
      <c r="AJ94" s="708"/>
      <c r="AK94" s="733">
        <f t="shared" ref="AK94:AK95" si="80">AJ94*E94</f>
        <v>0</v>
      </c>
      <c r="AL94" s="713"/>
    </row>
    <row r="95" spans="2:38" s="528" customFormat="1" ht="27.6" outlineLevel="1">
      <c r="B95" s="699">
        <f>'Master BOQ Pricing_2018-01-08'!B95</f>
        <v>6.04</v>
      </c>
      <c r="C95" s="700" t="str">
        <f>'Master BOQ Pricing_2018-01-08'!C95</f>
        <v>Supply and install large concrete precast manhole including rings with knockouts and precast cover (Internal diameter 1000mm x 1000mm depth  wall thickness 65mm to 75mm)</v>
      </c>
      <c r="D95" s="727" t="str">
        <f>'Master BOQ Pricing_2018-01-08'!D95</f>
        <v>ea</v>
      </c>
      <c r="E95" s="702">
        <f>'Master BOQ Pricing_2018-01-08'!E95</f>
        <v>3120</v>
      </c>
      <c r="F95" s="703"/>
      <c r="G95" s="704">
        <f t="shared" si="69"/>
        <v>0</v>
      </c>
      <c r="H95" s="728"/>
      <c r="I95" s="729"/>
      <c r="J95" s="728"/>
      <c r="K95" s="729"/>
      <c r="L95" s="728"/>
      <c r="M95" s="729"/>
      <c r="N95" s="728"/>
      <c r="O95" s="729"/>
      <c r="P95" s="728"/>
      <c r="Q95" s="730"/>
      <c r="R95" s="731"/>
      <c r="S95" s="729"/>
      <c r="T95" s="711"/>
      <c r="U95" s="732">
        <f t="shared" si="72"/>
        <v>0</v>
      </c>
      <c r="V95" s="733">
        <f t="shared" si="73"/>
        <v>0</v>
      </c>
      <c r="W95" s="710"/>
      <c r="X95" s="711"/>
      <c r="Y95" s="732">
        <f t="shared" si="74"/>
        <v>0</v>
      </c>
      <c r="Z95" s="733">
        <f t="shared" si="75"/>
        <v>0</v>
      </c>
      <c r="AA95" s="710"/>
      <c r="AB95" s="711"/>
      <c r="AC95" s="732">
        <f t="shared" si="76"/>
        <v>0</v>
      </c>
      <c r="AD95" s="733">
        <f t="shared" si="77"/>
        <v>0</v>
      </c>
      <c r="AE95" s="712"/>
      <c r="AF95" s="711"/>
      <c r="AG95" s="732">
        <f t="shared" si="78"/>
        <v>0</v>
      </c>
      <c r="AH95" s="733">
        <f t="shared" si="79"/>
        <v>0</v>
      </c>
      <c r="AI95" s="712"/>
      <c r="AJ95" s="708"/>
      <c r="AK95" s="733">
        <f t="shared" si="80"/>
        <v>0</v>
      </c>
      <c r="AL95" s="713"/>
    </row>
    <row r="96" spans="2:38" s="250" customFormat="1" outlineLevel="1">
      <c r="B96" s="699">
        <f>'Master BOQ Pricing_2018-01-08'!B96</f>
        <v>6.05</v>
      </c>
      <c r="C96" s="700" t="str">
        <f>'Master BOQ Pricing_2018-01-08'!C96</f>
        <v>Install precast concrete flatpack manhole (605mm x 545mm x 700 mm)</v>
      </c>
      <c r="D96" s="727" t="str">
        <f>'Master BOQ Pricing_2018-01-08'!D96</f>
        <v>ea</v>
      </c>
      <c r="E96" s="702">
        <f>'Master BOQ Pricing_2018-01-08'!E96</f>
        <v>545.45000000000005</v>
      </c>
      <c r="F96" s="703"/>
      <c r="G96" s="704">
        <f t="shared" si="69"/>
        <v>0</v>
      </c>
      <c r="H96" s="728"/>
      <c r="I96" s="729"/>
      <c r="J96" s="728"/>
      <c r="K96" s="729"/>
      <c r="L96" s="728"/>
      <c r="M96" s="729"/>
      <c r="N96" s="728"/>
      <c r="O96" s="729"/>
      <c r="P96" s="728"/>
      <c r="Q96" s="730"/>
      <c r="R96" s="731"/>
      <c r="S96" s="729"/>
      <c r="T96" s="711"/>
      <c r="U96" s="732">
        <f t="shared" si="70"/>
        <v>0</v>
      </c>
      <c r="V96" s="733">
        <f t="shared" si="71"/>
        <v>0</v>
      </c>
      <c r="W96" s="710"/>
      <c r="X96" s="711"/>
      <c r="Y96" s="732">
        <f t="shared" si="2"/>
        <v>0</v>
      </c>
      <c r="Z96" s="733">
        <f t="shared" si="3"/>
        <v>0</v>
      </c>
      <c r="AA96" s="710"/>
      <c r="AB96" s="711"/>
      <c r="AC96" s="732">
        <f t="shared" si="4"/>
        <v>0</v>
      </c>
      <c r="AD96" s="733">
        <f t="shared" si="5"/>
        <v>0</v>
      </c>
      <c r="AE96" s="712"/>
      <c r="AF96" s="711"/>
      <c r="AG96" s="732">
        <f t="shared" si="6"/>
        <v>0</v>
      </c>
      <c r="AH96" s="733">
        <f t="shared" si="7"/>
        <v>0</v>
      </c>
      <c r="AI96" s="712"/>
      <c r="AJ96" s="708"/>
      <c r="AK96" s="733">
        <f t="shared" si="8"/>
        <v>0</v>
      </c>
      <c r="AL96" s="713"/>
    </row>
    <row r="97" spans="2:38" s="250" customFormat="1" ht="27.6" outlineLevel="1">
      <c r="B97" s="699">
        <f>'Master BOQ Pricing_2018-01-08'!B97</f>
        <v>6.06</v>
      </c>
      <c r="C97" s="700" t="str">
        <f>'Master BOQ Pricing_2018-01-08'!C97</f>
        <v>Construct single skin clay brick and mortar manhole including cover slab  (600mm length x 600mm width x 600mm depth - inside dimensions)</v>
      </c>
      <c r="D97" s="727" t="str">
        <f>'Master BOQ Pricing_2018-01-08'!D97</f>
        <v>ea</v>
      </c>
      <c r="E97" s="702">
        <f>'Master BOQ Pricing_2018-01-08'!E97</f>
        <v>1383.32</v>
      </c>
      <c r="F97" s="772">
        <f>'ROUTE INFO'!F13</f>
        <v>0</v>
      </c>
      <c r="G97" s="704">
        <f t="shared" si="69"/>
        <v>0</v>
      </c>
      <c r="H97" s="728"/>
      <c r="I97" s="729"/>
      <c r="J97" s="728"/>
      <c r="K97" s="729"/>
      <c r="L97" s="728"/>
      <c r="M97" s="729"/>
      <c r="N97" s="728"/>
      <c r="O97" s="729"/>
      <c r="P97" s="728"/>
      <c r="Q97" s="730"/>
      <c r="R97" s="731"/>
      <c r="S97" s="729"/>
      <c r="T97" s="711"/>
      <c r="U97" s="732">
        <f t="shared" si="70"/>
        <v>0</v>
      </c>
      <c r="V97" s="733">
        <f t="shared" si="71"/>
        <v>0</v>
      </c>
      <c r="W97" s="710"/>
      <c r="X97" s="711"/>
      <c r="Y97" s="732">
        <f t="shared" si="2"/>
        <v>0</v>
      </c>
      <c r="Z97" s="733">
        <f t="shared" si="3"/>
        <v>0</v>
      </c>
      <c r="AA97" s="710"/>
      <c r="AB97" s="711"/>
      <c r="AC97" s="732">
        <f t="shared" si="4"/>
        <v>0</v>
      </c>
      <c r="AD97" s="733">
        <f t="shared" si="5"/>
        <v>0</v>
      </c>
      <c r="AE97" s="712"/>
      <c r="AF97" s="711"/>
      <c r="AG97" s="732">
        <f t="shared" si="6"/>
        <v>0</v>
      </c>
      <c r="AH97" s="733">
        <f t="shared" si="7"/>
        <v>0</v>
      </c>
      <c r="AI97" s="712"/>
      <c r="AJ97" s="708"/>
      <c r="AK97" s="733">
        <f t="shared" si="8"/>
        <v>0</v>
      </c>
      <c r="AL97" s="713"/>
    </row>
    <row r="98" spans="2:38" s="250" customFormat="1" ht="27.6" outlineLevel="1">
      <c r="B98" s="699">
        <f>'Master BOQ Pricing_2018-01-08'!B98</f>
        <v>6.07</v>
      </c>
      <c r="C98" s="700" t="str">
        <f>'Master BOQ Pricing_2018-01-08'!C98</f>
        <v>Construct double skin clay brick and mortar manhole including frame and cover (1000mm length x 1000mm width x 1000mm depth - inside dimensions)</v>
      </c>
      <c r="D98" s="727" t="str">
        <f>'Master BOQ Pricing_2018-01-08'!D98</f>
        <v>ea</v>
      </c>
      <c r="E98" s="702">
        <f>'Master BOQ Pricing_2018-01-08'!E98</f>
        <v>4286</v>
      </c>
      <c r="F98" s="703"/>
      <c r="G98" s="704">
        <f t="shared" si="69"/>
        <v>0</v>
      </c>
      <c r="H98" s="728"/>
      <c r="I98" s="729"/>
      <c r="J98" s="728"/>
      <c r="K98" s="729"/>
      <c r="L98" s="728"/>
      <c r="M98" s="729"/>
      <c r="N98" s="728"/>
      <c r="O98" s="729"/>
      <c r="P98" s="728"/>
      <c r="Q98" s="730"/>
      <c r="R98" s="731"/>
      <c r="S98" s="729"/>
      <c r="T98" s="711"/>
      <c r="U98" s="732">
        <f t="shared" si="70"/>
        <v>0</v>
      </c>
      <c r="V98" s="733">
        <f t="shared" si="71"/>
        <v>0</v>
      </c>
      <c r="W98" s="710"/>
      <c r="X98" s="711"/>
      <c r="Y98" s="732">
        <f t="shared" si="2"/>
        <v>0</v>
      </c>
      <c r="Z98" s="733">
        <f t="shared" si="3"/>
        <v>0</v>
      </c>
      <c r="AA98" s="710"/>
      <c r="AB98" s="711"/>
      <c r="AC98" s="732">
        <f t="shared" si="4"/>
        <v>0</v>
      </c>
      <c r="AD98" s="733">
        <f t="shared" si="5"/>
        <v>0</v>
      </c>
      <c r="AE98" s="712"/>
      <c r="AF98" s="711"/>
      <c r="AG98" s="732">
        <f t="shared" si="6"/>
        <v>0</v>
      </c>
      <c r="AH98" s="733">
        <f t="shared" si="7"/>
        <v>0</v>
      </c>
      <c r="AI98" s="712"/>
      <c r="AJ98" s="708"/>
      <c r="AK98" s="733">
        <f t="shared" si="8"/>
        <v>0</v>
      </c>
      <c r="AL98" s="713"/>
    </row>
    <row r="99" spans="2:38" s="250" customFormat="1" outlineLevel="1">
      <c r="B99" s="699">
        <f>'Master BOQ Pricing_2018-01-08'!B99</f>
        <v>6.08</v>
      </c>
      <c r="C99" s="700" t="str">
        <f>'Master BOQ Pricing_2018-01-08'!C99</f>
        <v>Install Polymer 500x500mm Manhole</v>
      </c>
      <c r="D99" s="727" t="str">
        <f>'Master BOQ Pricing_2018-01-08'!D99</f>
        <v>ea</v>
      </c>
      <c r="E99" s="702">
        <f>'Master BOQ Pricing_2018-01-08'!E99</f>
        <v>545.45000000000005</v>
      </c>
      <c r="F99" s="772">
        <f>'ROUTE INFO'!F12</f>
        <v>0</v>
      </c>
      <c r="G99" s="704">
        <f t="shared" si="69"/>
        <v>0</v>
      </c>
      <c r="H99" s="728"/>
      <c r="I99" s="729"/>
      <c r="J99" s="728"/>
      <c r="K99" s="729"/>
      <c r="L99" s="728"/>
      <c r="M99" s="729"/>
      <c r="N99" s="728"/>
      <c r="O99" s="729"/>
      <c r="P99" s="728"/>
      <c r="Q99" s="730"/>
      <c r="R99" s="731"/>
      <c r="S99" s="729"/>
      <c r="T99" s="711"/>
      <c r="U99" s="732">
        <f t="shared" si="70"/>
        <v>0</v>
      </c>
      <c r="V99" s="733">
        <f t="shared" si="71"/>
        <v>0</v>
      </c>
      <c r="W99" s="710"/>
      <c r="X99" s="711"/>
      <c r="Y99" s="732">
        <f t="shared" si="2"/>
        <v>0</v>
      </c>
      <c r="Z99" s="733">
        <f t="shared" si="3"/>
        <v>0</v>
      </c>
      <c r="AA99" s="710"/>
      <c r="AB99" s="711"/>
      <c r="AC99" s="732">
        <f t="shared" si="4"/>
        <v>0</v>
      </c>
      <c r="AD99" s="733">
        <f t="shared" si="5"/>
        <v>0</v>
      </c>
      <c r="AE99" s="712"/>
      <c r="AF99" s="711"/>
      <c r="AG99" s="732">
        <f t="shared" si="6"/>
        <v>0</v>
      </c>
      <c r="AH99" s="733">
        <f t="shared" si="7"/>
        <v>0</v>
      </c>
      <c r="AI99" s="712"/>
      <c r="AJ99" s="708"/>
      <c r="AK99" s="733">
        <f t="shared" si="8"/>
        <v>0</v>
      </c>
      <c r="AL99" s="713"/>
    </row>
    <row r="100" spans="2:38" s="250" customFormat="1" outlineLevel="1">
      <c r="B100" s="699" t="str">
        <f>'Master BOQ Pricing_2018-01-08'!B100</f>
        <v>6,08,1</v>
      </c>
      <c r="C100" s="700" t="str">
        <f>'Master BOQ Pricing_2018-01-08'!C100</f>
        <v>Reposition or Install Polymer 500x500mm Manhole</v>
      </c>
      <c r="D100" s="727" t="str">
        <f>'Master BOQ Pricing_2018-01-08'!D100</f>
        <v>ea</v>
      </c>
      <c r="E100" s="702">
        <f>'Master BOQ Pricing_2018-01-08'!E100</f>
        <v>545.45000000000005</v>
      </c>
      <c r="F100" s="703"/>
      <c r="G100" s="704">
        <f t="shared" si="69"/>
        <v>0</v>
      </c>
      <c r="H100" s="728"/>
      <c r="I100" s="729"/>
      <c r="J100" s="728"/>
      <c r="K100" s="729"/>
      <c r="L100" s="728"/>
      <c r="M100" s="729"/>
      <c r="N100" s="728"/>
      <c r="O100" s="729"/>
      <c r="P100" s="728"/>
      <c r="Q100" s="730"/>
      <c r="R100" s="731"/>
      <c r="S100" s="729"/>
      <c r="T100" s="711"/>
      <c r="U100" s="732">
        <f t="shared" ref="U100:U101" si="81">T100+F100</f>
        <v>0</v>
      </c>
      <c r="V100" s="733">
        <f t="shared" ref="V100:V101" si="82">U100*E100</f>
        <v>0</v>
      </c>
      <c r="W100" s="710"/>
      <c r="X100" s="711"/>
      <c r="Y100" s="732">
        <f t="shared" ref="Y100:Y101" si="83">X100+U100</f>
        <v>0</v>
      </c>
      <c r="Z100" s="733">
        <f t="shared" ref="Z100:Z101" si="84">Y100*E100</f>
        <v>0</v>
      </c>
      <c r="AA100" s="710"/>
      <c r="AB100" s="711"/>
      <c r="AC100" s="732">
        <f t="shared" ref="AC100:AC101" si="85">AB100+Y100</f>
        <v>0</v>
      </c>
      <c r="AD100" s="733">
        <f t="shared" ref="AD100:AD101" si="86">AC100*E100</f>
        <v>0</v>
      </c>
      <c r="AE100" s="712"/>
      <c r="AF100" s="711"/>
      <c r="AG100" s="732">
        <f t="shared" ref="AG100:AG101" si="87">AF100+AC100</f>
        <v>0</v>
      </c>
      <c r="AH100" s="733">
        <f t="shared" ref="AH100:AH101" si="88">AG100*E100</f>
        <v>0</v>
      </c>
      <c r="AI100" s="712"/>
      <c r="AJ100" s="708"/>
      <c r="AK100" s="733">
        <f t="shared" ref="AK100:AK101" si="89">AJ100*E100</f>
        <v>0</v>
      </c>
      <c r="AL100" s="713"/>
    </row>
    <row r="101" spans="2:38" s="250" customFormat="1" outlineLevel="1">
      <c r="B101" s="699">
        <f>'Master BOQ Pricing_2018-01-08'!B101</f>
        <v>6.09</v>
      </c>
      <c r="C101" s="700" t="str">
        <f>'Master BOQ Pricing_2018-01-08'!C101</f>
        <v>Install 350mm x350mm Toby box</v>
      </c>
      <c r="D101" s="727" t="str">
        <f>'Master BOQ Pricing_2018-01-08'!D101</f>
        <v>ea</v>
      </c>
      <c r="E101" s="702">
        <f>'Master BOQ Pricing_2018-01-08'!E101</f>
        <v>160</v>
      </c>
      <c r="F101" s="772">
        <f>'ROUTE INFO'!F34</f>
        <v>0</v>
      </c>
      <c r="G101" s="704">
        <f t="shared" si="69"/>
        <v>0</v>
      </c>
      <c r="H101" s="728"/>
      <c r="I101" s="729"/>
      <c r="J101" s="728"/>
      <c r="K101" s="729"/>
      <c r="L101" s="728"/>
      <c r="M101" s="729"/>
      <c r="N101" s="728"/>
      <c r="O101" s="729"/>
      <c r="P101" s="728"/>
      <c r="Q101" s="730"/>
      <c r="R101" s="731"/>
      <c r="S101" s="729"/>
      <c r="T101" s="711"/>
      <c r="U101" s="732">
        <f t="shared" si="81"/>
        <v>0</v>
      </c>
      <c r="V101" s="733">
        <f t="shared" si="82"/>
        <v>0</v>
      </c>
      <c r="W101" s="710"/>
      <c r="X101" s="711"/>
      <c r="Y101" s="732">
        <f t="shared" si="83"/>
        <v>0</v>
      </c>
      <c r="Z101" s="733">
        <f t="shared" si="84"/>
        <v>0</v>
      </c>
      <c r="AA101" s="710"/>
      <c r="AB101" s="711"/>
      <c r="AC101" s="732">
        <f t="shared" si="85"/>
        <v>0</v>
      </c>
      <c r="AD101" s="733">
        <f t="shared" si="86"/>
        <v>0</v>
      </c>
      <c r="AE101" s="712"/>
      <c r="AF101" s="711"/>
      <c r="AG101" s="732">
        <f t="shared" si="87"/>
        <v>0</v>
      </c>
      <c r="AH101" s="733">
        <f t="shared" si="88"/>
        <v>0</v>
      </c>
      <c r="AI101" s="712"/>
      <c r="AJ101" s="708"/>
      <c r="AK101" s="733">
        <f t="shared" si="89"/>
        <v>0</v>
      </c>
      <c r="AL101" s="713"/>
    </row>
    <row r="102" spans="2:38" s="250" customFormat="1" outlineLevel="1">
      <c r="B102" s="699">
        <f>'Master BOQ Pricing_2018-01-08'!B102</f>
        <v>6.1</v>
      </c>
      <c r="C102" s="700" t="str">
        <f>'Master BOQ Pricing_2018-01-08'!C102</f>
        <v>Install 250x230x300mm Toby Box</v>
      </c>
      <c r="D102" s="727" t="str">
        <f>'Master BOQ Pricing_2018-01-08'!D102</f>
        <v>ea</v>
      </c>
      <c r="E102" s="702">
        <f>'Master BOQ Pricing_2018-01-08'!E102</f>
        <v>160</v>
      </c>
      <c r="F102" s="772">
        <f>'ROUTE INFO'!F35</f>
        <v>0</v>
      </c>
      <c r="G102" s="704">
        <f t="shared" ref="G102" si="90">+F102*E102</f>
        <v>0</v>
      </c>
      <c r="H102" s="728"/>
      <c r="I102" s="729"/>
      <c r="J102" s="728"/>
      <c r="K102" s="729"/>
      <c r="L102" s="728"/>
      <c r="M102" s="729"/>
      <c r="N102" s="728"/>
      <c r="O102" s="729"/>
      <c r="P102" s="728"/>
      <c r="Q102" s="730"/>
      <c r="R102" s="731"/>
      <c r="S102" s="729"/>
      <c r="T102" s="711"/>
      <c r="U102" s="732">
        <f t="shared" ref="U102:U106" si="91">T102+F102</f>
        <v>0</v>
      </c>
      <c r="V102" s="733">
        <f t="shared" ref="V102:V106" si="92">U102*E102</f>
        <v>0</v>
      </c>
      <c r="W102" s="710"/>
      <c r="X102" s="711"/>
      <c r="Y102" s="732">
        <f t="shared" ref="Y102:Y106" si="93">X102+U102</f>
        <v>0</v>
      </c>
      <c r="Z102" s="733">
        <f t="shared" ref="Z102:Z106" si="94">Y102*E102</f>
        <v>0</v>
      </c>
      <c r="AA102" s="710"/>
      <c r="AB102" s="711"/>
      <c r="AC102" s="732">
        <f t="shared" ref="AC102:AC106" si="95">AB102+Y102</f>
        <v>0</v>
      </c>
      <c r="AD102" s="733">
        <f t="shared" ref="AD102:AD106" si="96">AC102*E102</f>
        <v>0</v>
      </c>
      <c r="AE102" s="712"/>
      <c r="AF102" s="711"/>
      <c r="AG102" s="732">
        <f t="shared" ref="AG102:AG106" si="97">AF102+AC102</f>
        <v>0</v>
      </c>
      <c r="AH102" s="733">
        <f t="shared" ref="AH102:AH106" si="98">AG102*E102</f>
        <v>0</v>
      </c>
      <c r="AI102" s="712"/>
      <c r="AJ102" s="708"/>
      <c r="AK102" s="733">
        <f t="shared" ref="AK102:AK106" si="99">AJ102*E102</f>
        <v>0</v>
      </c>
      <c r="AL102" s="713"/>
    </row>
    <row r="103" spans="2:38" s="250" customFormat="1" outlineLevel="1">
      <c r="B103" s="699">
        <f>'Master BOQ Pricing_2018-01-08'!B103</f>
        <v>6.11</v>
      </c>
      <c r="C103" s="700" t="str">
        <f>'Master BOQ Pricing_2018-01-08'!C103</f>
        <v>Install Smartlock 400x400mm Manhole</v>
      </c>
      <c r="D103" s="727" t="str">
        <f>'Master BOQ Pricing_2018-01-08'!D103</f>
        <v>ea</v>
      </c>
      <c r="E103" s="702">
        <f>'Master BOQ Pricing_2018-01-08'!E103</f>
        <v>123.43</v>
      </c>
      <c r="F103" s="772">
        <f>'ROUTE INFO'!F14</f>
        <v>0</v>
      </c>
      <c r="G103" s="704">
        <f t="shared" si="69"/>
        <v>0</v>
      </c>
      <c r="H103" s="728"/>
      <c r="I103" s="729"/>
      <c r="J103" s="728"/>
      <c r="K103" s="729"/>
      <c r="L103" s="728"/>
      <c r="M103" s="729"/>
      <c r="N103" s="728"/>
      <c r="O103" s="729"/>
      <c r="P103" s="728"/>
      <c r="Q103" s="730"/>
      <c r="R103" s="731"/>
      <c r="S103" s="729"/>
      <c r="T103" s="711"/>
      <c r="U103" s="732">
        <f t="shared" si="91"/>
        <v>0</v>
      </c>
      <c r="V103" s="733">
        <f t="shared" si="92"/>
        <v>0</v>
      </c>
      <c r="W103" s="710"/>
      <c r="X103" s="711"/>
      <c r="Y103" s="732">
        <f t="shared" si="93"/>
        <v>0</v>
      </c>
      <c r="Z103" s="733">
        <f t="shared" si="94"/>
        <v>0</v>
      </c>
      <c r="AA103" s="710"/>
      <c r="AB103" s="711"/>
      <c r="AC103" s="732">
        <f t="shared" si="95"/>
        <v>0</v>
      </c>
      <c r="AD103" s="733">
        <f t="shared" si="96"/>
        <v>0</v>
      </c>
      <c r="AE103" s="712"/>
      <c r="AF103" s="711"/>
      <c r="AG103" s="732">
        <f t="shared" si="97"/>
        <v>0</v>
      </c>
      <c r="AH103" s="733">
        <f t="shared" si="98"/>
        <v>0</v>
      </c>
      <c r="AI103" s="712"/>
      <c r="AJ103" s="708"/>
      <c r="AK103" s="733">
        <f t="shared" si="99"/>
        <v>0</v>
      </c>
      <c r="AL103" s="713"/>
    </row>
    <row r="104" spans="2:38" s="250" customFormat="1" outlineLevel="1">
      <c r="B104" s="699">
        <f>'Master BOQ Pricing_2018-01-08'!B104</f>
        <v>6.12</v>
      </c>
      <c r="C104" s="700" t="str">
        <f>'Master BOQ Pricing_2018-01-08'!C104</f>
        <v>Install Smartlock 400x600mm Manhole</v>
      </c>
      <c r="D104" s="727" t="str">
        <f>'Master BOQ Pricing_2018-01-08'!D104</f>
        <v>ea</v>
      </c>
      <c r="E104" s="702">
        <f>'Master BOQ Pricing_2018-01-08'!E104</f>
        <v>164.75</v>
      </c>
      <c r="F104" s="772">
        <f>'ROUTE INFO'!F15</f>
        <v>0</v>
      </c>
      <c r="G104" s="704">
        <f t="shared" si="69"/>
        <v>0</v>
      </c>
      <c r="H104" s="728"/>
      <c r="I104" s="729"/>
      <c r="J104" s="728"/>
      <c r="K104" s="729"/>
      <c r="L104" s="728"/>
      <c r="M104" s="729"/>
      <c r="N104" s="728"/>
      <c r="O104" s="729"/>
      <c r="P104" s="728"/>
      <c r="Q104" s="730"/>
      <c r="R104" s="731"/>
      <c r="S104" s="729"/>
      <c r="T104" s="711"/>
      <c r="U104" s="732">
        <f t="shared" si="91"/>
        <v>0</v>
      </c>
      <c r="V104" s="733">
        <f t="shared" si="92"/>
        <v>0</v>
      </c>
      <c r="W104" s="710"/>
      <c r="X104" s="711"/>
      <c r="Y104" s="732">
        <f t="shared" si="93"/>
        <v>0</v>
      </c>
      <c r="Z104" s="733">
        <f t="shared" si="94"/>
        <v>0</v>
      </c>
      <c r="AA104" s="710"/>
      <c r="AB104" s="711"/>
      <c r="AC104" s="732">
        <f t="shared" si="95"/>
        <v>0</v>
      </c>
      <c r="AD104" s="733">
        <f t="shared" si="96"/>
        <v>0</v>
      </c>
      <c r="AE104" s="712"/>
      <c r="AF104" s="711"/>
      <c r="AG104" s="732">
        <f t="shared" si="97"/>
        <v>0</v>
      </c>
      <c r="AH104" s="733">
        <f t="shared" si="98"/>
        <v>0</v>
      </c>
      <c r="AI104" s="712"/>
      <c r="AJ104" s="708"/>
      <c r="AK104" s="733">
        <f t="shared" si="99"/>
        <v>0</v>
      </c>
      <c r="AL104" s="713"/>
    </row>
    <row r="105" spans="2:38" s="250" customFormat="1" outlineLevel="1">
      <c r="B105" s="699">
        <f>'Master BOQ Pricing_2018-01-08'!B105</f>
        <v>6.13</v>
      </c>
      <c r="C105" s="700" t="str">
        <f>'Master BOQ Pricing_2018-01-08'!C105</f>
        <v>Install Medium Duty 600x600mm Manhole (DMC)</v>
      </c>
      <c r="D105" s="727" t="str">
        <f>'Master BOQ Pricing_2018-01-08'!D105</f>
        <v>ea</v>
      </c>
      <c r="E105" s="702">
        <f>'Master BOQ Pricing_2018-01-08'!E105</f>
        <v>504.69</v>
      </c>
      <c r="F105" s="772">
        <f>'ROUTE INFO'!F16</f>
        <v>0</v>
      </c>
      <c r="G105" s="704">
        <f t="shared" si="69"/>
        <v>0</v>
      </c>
      <c r="H105" s="728"/>
      <c r="I105" s="729"/>
      <c r="J105" s="728"/>
      <c r="K105" s="729"/>
      <c r="L105" s="728"/>
      <c r="M105" s="729"/>
      <c r="N105" s="728"/>
      <c r="O105" s="729"/>
      <c r="P105" s="728"/>
      <c r="Q105" s="730"/>
      <c r="R105" s="731"/>
      <c r="S105" s="729"/>
      <c r="T105" s="711"/>
      <c r="U105" s="732">
        <f t="shared" si="91"/>
        <v>0</v>
      </c>
      <c r="V105" s="733">
        <f t="shared" si="92"/>
        <v>0</v>
      </c>
      <c r="W105" s="710"/>
      <c r="X105" s="711"/>
      <c r="Y105" s="732">
        <f t="shared" si="93"/>
        <v>0</v>
      </c>
      <c r="Z105" s="733">
        <f t="shared" si="94"/>
        <v>0</v>
      </c>
      <c r="AA105" s="710"/>
      <c r="AB105" s="711"/>
      <c r="AC105" s="732">
        <f t="shared" si="95"/>
        <v>0</v>
      </c>
      <c r="AD105" s="733">
        <f t="shared" si="96"/>
        <v>0</v>
      </c>
      <c r="AE105" s="712"/>
      <c r="AF105" s="711"/>
      <c r="AG105" s="732">
        <f t="shared" si="97"/>
        <v>0</v>
      </c>
      <c r="AH105" s="733">
        <f t="shared" si="98"/>
        <v>0</v>
      </c>
      <c r="AI105" s="712"/>
      <c r="AJ105" s="708"/>
      <c r="AK105" s="733">
        <f t="shared" si="99"/>
        <v>0</v>
      </c>
      <c r="AL105" s="713"/>
    </row>
    <row r="106" spans="2:38" s="250" customFormat="1" outlineLevel="1">
      <c r="B106" s="699">
        <f>'Master BOQ Pricing_2018-01-08'!B106</f>
        <v>6.14</v>
      </c>
      <c r="C106" s="700" t="str">
        <f>'Master BOQ Pricing_2018-01-08'!C106</f>
        <v>Install Medium Duty 900x900mm Manhole (DMC)</v>
      </c>
      <c r="D106" s="727" t="str">
        <f>'Master BOQ Pricing_2018-01-08'!D106</f>
        <v>ea</v>
      </c>
      <c r="E106" s="702">
        <f>'Master BOQ Pricing_2018-01-08'!E106</f>
        <v>599.12</v>
      </c>
      <c r="F106" s="772">
        <f>'ROUTE INFO'!F17</f>
        <v>0</v>
      </c>
      <c r="G106" s="704">
        <f t="shared" si="69"/>
        <v>0</v>
      </c>
      <c r="H106" s="728"/>
      <c r="I106" s="729"/>
      <c r="J106" s="728"/>
      <c r="K106" s="729"/>
      <c r="L106" s="728"/>
      <c r="M106" s="729"/>
      <c r="N106" s="728"/>
      <c r="O106" s="729"/>
      <c r="P106" s="728"/>
      <c r="Q106" s="730"/>
      <c r="R106" s="731"/>
      <c r="S106" s="729"/>
      <c r="T106" s="711"/>
      <c r="U106" s="732">
        <f t="shared" si="91"/>
        <v>0</v>
      </c>
      <c r="V106" s="733">
        <f t="shared" si="92"/>
        <v>0</v>
      </c>
      <c r="W106" s="710"/>
      <c r="X106" s="711"/>
      <c r="Y106" s="732">
        <f t="shared" si="93"/>
        <v>0</v>
      </c>
      <c r="Z106" s="733">
        <f t="shared" si="94"/>
        <v>0</v>
      </c>
      <c r="AA106" s="710"/>
      <c r="AB106" s="711"/>
      <c r="AC106" s="732">
        <f t="shared" si="95"/>
        <v>0</v>
      </c>
      <c r="AD106" s="733">
        <f t="shared" si="96"/>
        <v>0</v>
      </c>
      <c r="AE106" s="712"/>
      <c r="AF106" s="711"/>
      <c r="AG106" s="732">
        <f t="shared" si="97"/>
        <v>0</v>
      </c>
      <c r="AH106" s="733">
        <f t="shared" si="98"/>
        <v>0</v>
      </c>
      <c r="AI106" s="712"/>
      <c r="AJ106" s="708"/>
      <c r="AK106" s="733">
        <f t="shared" si="99"/>
        <v>0</v>
      </c>
      <c r="AL106" s="713"/>
    </row>
    <row r="107" spans="2:38" s="250" customFormat="1" outlineLevel="1">
      <c r="B107" s="699">
        <f>'Master BOQ Pricing_2018-01-08'!B107</f>
        <v>6.15</v>
      </c>
      <c r="C107" s="700" t="str">
        <f>'Master BOQ Pricing_2018-01-08'!C107</f>
        <v>Supply and Install Replacement 3rd Party Manhole concrete lid (490-560mm Light duty lid)</v>
      </c>
      <c r="D107" s="727" t="str">
        <f>'Master BOQ Pricing_2018-01-08'!D107</f>
        <v>ea</v>
      </c>
      <c r="E107" s="702">
        <f>'Master BOQ Pricing_2018-01-08'!E107</f>
        <v>255</v>
      </c>
      <c r="F107" s="703"/>
      <c r="G107" s="704">
        <f t="shared" si="69"/>
        <v>0</v>
      </c>
      <c r="H107" s="728"/>
      <c r="I107" s="729"/>
      <c r="J107" s="728"/>
      <c r="K107" s="729"/>
      <c r="L107" s="728"/>
      <c r="M107" s="729"/>
      <c r="N107" s="728"/>
      <c r="O107" s="729"/>
      <c r="P107" s="728"/>
      <c r="Q107" s="730"/>
      <c r="R107" s="731"/>
      <c r="S107" s="729"/>
      <c r="T107" s="711"/>
      <c r="U107" s="732">
        <f t="shared" si="70"/>
        <v>0</v>
      </c>
      <c r="V107" s="733">
        <f t="shared" si="71"/>
        <v>0</v>
      </c>
      <c r="W107" s="710"/>
      <c r="X107" s="711"/>
      <c r="Y107" s="732">
        <f t="shared" si="2"/>
        <v>0</v>
      </c>
      <c r="Z107" s="733">
        <f t="shared" si="3"/>
        <v>0</v>
      </c>
      <c r="AA107" s="710"/>
      <c r="AB107" s="711"/>
      <c r="AC107" s="732">
        <f t="shared" si="4"/>
        <v>0</v>
      </c>
      <c r="AD107" s="733">
        <f t="shared" si="5"/>
        <v>0</v>
      </c>
      <c r="AE107" s="712"/>
      <c r="AF107" s="711"/>
      <c r="AG107" s="732">
        <f t="shared" si="6"/>
        <v>0</v>
      </c>
      <c r="AH107" s="733">
        <f t="shared" si="7"/>
        <v>0</v>
      </c>
      <c r="AI107" s="712"/>
      <c r="AJ107" s="708"/>
      <c r="AK107" s="733">
        <f t="shared" si="8"/>
        <v>0</v>
      </c>
      <c r="AL107" s="713"/>
    </row>
    <row r="108" spans="2:38" s="250" customFormat="1" ht="27.6" outlineLevel="1">
      <c r="B108" s="699">
        <f>'Master BOQ Pricing_2018-01-08'!B108</f>
        <v>6.16</v>
      </c>
      <c r="C108" s="700" t="str">
        <f>'Master BOQ Pricing_2018-01-08'!C108</f>
        <v>Supply and Install Replacement 3rd Party Manhole coping and concrete lid (860mm Ø x 75mm depth with 490 mm hole and 560mm light duty lid)</v>
      </c>
      <c r="D108" s="727" t="str">
        <f>'Master BOQ Pricing_2018-01-08'!D108</f>
        <v>ea</v>
      </c>
      <c r="E108" s="702">
        <f>'Master BOQ Pricing_2018-01-08'!E108</f>
        <v>520</v>
      </c>
      <c r="F108" s="703"/>
      <c r="G108" s="704">
        <f t="shared" si="69"/>
        <v>0</v>
      </c>
      <c r="H108" s="728"/>
      <c r="I108" s="729"/>
      <c r="J108" s="728"/>
      <c r="K108" s="729"/>
      <c r="L108" s="728"/>
      <c r="M108" s="729"/>
      <c r="N108" s="728"/>
      <c r="O108" s="729"/>
      <c r="P108" s="728"/>
      <c r="Q108" s="730"/>
      <c r="R108" s="731"/>
      <c r="S108" s="729"/>
      <c r="T108" s="711"/>
      <c r="U108" s="732">
        <f t="shared" si="70"/>
        <v>0</v>
      </c>
      <c r="V108" s="733">
        <f t="shared" si="71"/>
        <v>0</v>
      </c>
      <c r="W108" s="710"/>
      <c r="X108" s="711"/>
      <c r="Y108" s="732">
        <f t="shared" ref="Y108:Y179" si="100">X108+U108</f>
        <v>0</v>
      </c>
      <c r="Z108" s="733">
        <f t="shared" ref="Z108:Z179" si="101">Y108*E108</f>
        <v>0</v>
      </c>
      <c r="AA108" s="710"/>
      <c r="AB108" s="711"/>
      <c r="AC108" s="732">
        <f t="shared" ref="AC108:AC179" si="102">AB108+Y108</f>
        <v>0</v>
      </c>
      <c r="AD108" s="733">
        <f t="shared" ref="AD108:AD179" si="103">AC108*E108</f>
        <v>0</v>
      </c>
      <c r="AE108" s="712"/>
      <c r="AF108" s="711"/>
      <c r="AG108" s="732">
        <f t="shared" ref="AG108:AG179" si="104">AF108+AC108</f>
        <v>0</v>
      </c>
      <c r="AH108" s="733">
        <f t="shared" ref="AH108:AH179" si="105">AG108*E108</f>
        <v>0</v>
      </c>
      <c r="AI108" s="712"/>
      <c r="AJ108" s="708"/>
      <c r="AK108" s="733">
        <f t="shared" ref="AK108:AK179" si="106">AJ108*E108</f>
        <v>0</v>
      </c>
      <c r="AL108" s="713"/>
    </row>
    <row r="109" spans="2:38" s="250" customFormat="1" ht="18.75" customHeight="1" outlineLevel="1">
      <c r="B109" s="699">
        <f>'Master BOQ Pricing_2018-01-08'!B109</f>
        <v>6.17</v>
      </c>
      <c r="C109" s="700" t="str">
        <f>'Master BOQ Pricing_2018-01-08'!C109</f>
        <v>Supply and Install Cabinet Plinth - LA Spec1, 2.45m x1.76m x 0.23m</v>
      </c>
      <c r="D109" s="727" t="str">
        <f>'Master BOQ Pricing_2018-01-08'!D109</f>
        <v>ea</v>
      </c>
      <c r="E109" s="702">
        <f>'Master BOQ Pricing_2018-01-08'!E109</f>
        <v>4899.96</v>
      </c>
      <c r="F109" s="703"/>
      <c r="G109" s="704">
        <f t="shared" si="69"/>
        <v>0</v>
      </c>
      <c r="H109" s="728"/>
      <c r="I109" s="729"/>
      <c r="J109" s="728"/>
      <c r="K109" s="729"/>
      <c r="L109" s="728"/>
      <c r="M109" s="729"/>
      <c r="N109" s="728"/>
      <c r="O109" s="729"/>
      <c r="P109" s="728"/>
      <c r="Q109" s="730"/>
      <c r="R109" s="731"/>
      <c r="S109" s="729"/>
      <c r="T109" s="711"/>
      <c r="U109" s="732">
        <f t="shared" ref="U109:U114" si="107">T109+F109</f>
        <v>0</v>
      </c>
      <c r="V109" s="733">
        <f t="shared" ref="V109:V114" si="108">U109*E109</f>
        <v>0</v>
      </c>
      <c r="W109" s="710"/>
      <c r="X109" s="711"/>
      <c r="Y109" s="732">
        <f t="shared" ref="Y109:Y114" si="109">X109+U109</f>
        <v>0</v>
      </c>
      <c r="Z109" s="733">
        <f t="shared" ref="Z109:Z114" si="110">Y109*E109</f>
        <v>0</v>
      </c>
      <c r="AA109" s="710"/>
      <c r="AB109" s="711"/>
      <c r="AC109" s="732">
        <f t="shared" ref="AC109:AC114" si="111">AB109+Y109</f>
        <v>0</v>
      </c>
      <c r="AD109" s="733">
        <f t="shared" ref="AD109:AD114" si="112">AC109*E109</f>
        <v>0</v>
      </c>
      <c r="AE109" s="712"/>
      <c r="AF109" s="711"/>
      <c r="AG109" s="732">
        <f t="shared" ref="AG109:AG114" si="113">AF109+AC109</f>
        <v>0</v>
      </c>
      <c r="AH109" s="733">
        <f t="shared" ref="AH109:AH114" si="114">AG109*E109</f>
        <v>0</v>
      </c>
      <c r="AI109" s="712"/>
      <c r="AJ109" s="708"/>
      <c r="AK109" s="733">
        <f t="shared" ref="AK109:AK114" si="115">AJ109*E109</f>
        <v>0</v>
      </c>
      <c r="AL109" s="713"/>
    </row>
    <row r="110" spans="2:38" s="250" customFormat="1" ht="18.75" customHeight="1" outlineLevel="1">
      <c r="B110" s="699">
        <f>'Master BOQ Pricing_2018-01-08'!B110</f>
        <v>6.18</v>
      </c>
      <c r="C110" s="700" t="str">
        <f>'Master BOQ Pricing_2018-01-08'!C110</f>
        <v>Supply and Install Cabinet Plinth - LA Spec2, 1500x950x100, Install Cabinet Base &amp; Cabinet</v>
      </c>
      <c r="D110" s="727" t="str">
        <f>'Master BOQ Pricing_2018-01-08'!D110</f>
        <v>ea</v>
      </c>
      <c r="E110" s="702">
        <f>'Master BOQ Pricing_2018-01-08'!E110</f>
        <v>2869</v>
      </c>
      <c r="F110" s="703"/>
      <c r="G110" s="704">
        <f t="shared" ref="G110" si="116">+F110*E110</f>
        <v>0</v>
      </c>
      <c r="H110" s="728"/>
      <c r="I110" s="729"/>
      <c r="J110" s="728"/>
      <c r="K110" s="729"/>
      <c r="L110" s="728"/>
      <c r="M110" s="729"/>
      <c r="N110" s="728"/>
      <c r="O110" s="729"/>
      <c r="P110" s="728"/>
      <c r="Q110" s="730"/>
      <c r="R110" s="731"/>
      <c r="S110" s="729"/>
      <c r="T110" s="711"/>
      <c r="U110" s="732">
        <f t="shared" si="107"/>
        <v>0</v>
      </c>
      <c r="V110" s="733">
        <f t="shared" si="108"/>
        <v>0</v>
      </c>
      <c r="W110" s="710"/>
      <c r="X110" s="711"/>
      <c r="Y110" s="732">
        <f t="shared" si="109"/>
        <v>0</v>
      </c>
      <c r="Z110" s="733">
        <f t="shared" si="110"/>
        <v>0</v>
      </c>
      <c r="AA110" s="710"/>
      <c r="AB110" s="711"/>
      <c r="AC110" s="732">
        <f t="shared" si="111"/>
        <v>0</v>
      </c>
      <c r="AD110" s="733">
        <f t="shared" si="112"/>
        <v>0</v>
      </c>
      <c r="AE110" s="712"/>
      <c r="AF110" s="711"/>
      <c r="AG110" s="732">
        <f t="shared" si="113"/>
        <v>0</v>
      </c>
      <c r="AH110" s="733">
        <f t="shared" si="114"/>
        <v>0</v>
      </c>
      <c r="AI110" s="712"/>
      <c r="AJ110" s="708"/>
      <c r="AK110" s="733">
        <f t="shared" si="115"/>
        <v>0</v>
      </c>
      <c r="AL110" s="713"/>
    </row>
    <row r="111" spans="2:38" s="250" customFormat="1" ht="19.5" customHeight="1" outlineLevel="1">
      <c r="B111" s="699">
        <f>'Master BOQ Pricing_2018-01-08'!B111</f>
        <v>6.19</v>
      </c>
      <c r="C111" s="700" t="str">
        <f>'Master BOQ Pricing_2018-01-08'!C111</f>
        <v>Install LA 23U cabinet on Existing Plinth</v>
      </c>
      <c r="D111" s="727" t="str">
        <f>'Master BOQ Pricing_2018-01-08'!D111</f>
        <v>ea</v>
      </c>
      <c r="E111" s="702">
        <f>'Master BOQ Pricing_2018-01-08'!E111</f>
        <v>750</v>
      </c>
      <c r="F111" s="703"/>
      <c r="G111" s="704">
        <f t="shared" si="69"/>
        <v>0</v>
      </c>
      <c r="H111" s="728"/>
      <c r="I111" s="729"/>
      <c r="J111" s="728"/>
      <c r="K111" s="729"/>
      <c r="L111" s="728"/>
      <c r="M111" s="729"/>
      <c r="N111" s="728"/>
      <c r="O111" s="729"/>
      <c r="P111" s="728"/>
      <c r="Q111" s="730"/>
      <c r="R111" s="731"/>
      <c r="S111" s="729"/>
      <c r="T111" s="711"/>
      <c r="U111" s="732">
        <f t="shared" si="107"/>
        <v>0</v>
      </c>
      <c r="V111" s="733">
        <f t="shared" si="108"/>
        <v>0</v>
      </c>
      <c r="W111" s="710"/>
      <c r="X111" s="711"/>
      <c r="Y111" s="732">
        <f t="shared" si="109"/>
        <v>0</v>
      </c>
      <c r="Z111" s="733">
        <f t="shared" si="110"/>
        <v>0</v>
      </c>
      <c r="AA111" s="710"/>
      <c r="AB111" s="711"/>
      <c r="AC111" s="732">
        <f t="shared" si="111"/>
        <v>0</v>
      </c>
      <c r="AD111" s="733">
        <f t="shared" si="112"/>
        <v>0</v>
      </c>
      <c r="AE111" s="712"/>
      <c r="AF111" s="711"/>
      <c r="AG111" s="732">
        <f t="shared" si="113"/>
        <v>0</v>
      </c>
      <c r="AH111" s="733">
        <f t="shared" si="114"/>
        <v>0</v>
      </c>
      <c r="AI111" s="712"/>
      <c r="AJ111" s="708"/>
      <c r="AK111" s="733">
        <f t="shared" si="115"/>
        <v>0</v>
      </c>
      <c r="AL111" s="713"/>
    </row>
    <row r="112" spans="2:38" s="250" customFormat="1" ht="19.5" customHeight="1" outlineLevel="1">
      <c r="B112" s="699">
        <f>'Master BOQ Pricing_2018-01-08'!B112</f>
        <v>6.2</v>
      </c>
      <c r="C112" s="700" t="str">
        <f>'Master BOQ Pricing_2018-01-08'!C112</f>
        <v>Supply and install of 3 phase lockable meter box and electrical cabling</v>
      </c>
      <c r="D112" s="727" t="str">
        <f>'Master BOQ Pricing_2018-01-08'!D112</f>
        <v>ea</v>
      </c>
      <c r="E112" s="702">
        <f>'Master BOQ Pricing_2018-01-08'!E112</f>
        <v>5250</v>
      </c>
      <c r="F112" s="703"/>
      <c r="G112" s="704">
        <f t="shared" ref="G112:G114" si="117">+F112*E112</f>
        <v>0</v>
      </c>
      <c r="H112" s="728"/>
      <c r="I112" s="729"/>
      <c r="J112" s="728"/>
      <c r="K112" s="729"/>
      <c r="L112" s="728"/>
      <c r="M112" s="729"/>
      <c r="N112" s="728"/>
      <c r="O112" s="729"/>
      <c r="P112" s="728"/>
      <c r="Q112" s="730"/>
      <c r="R112" s="731"/>
      <c r="S112" s="729"/>
      <c r="T112" s="711"/>
      <c r="U112" s="732">
        <f t="shared" si="107"/>
        <v>0</v>
      </c>
      <c r="V112" s="733">
        <f t="shared" si="108"/>
        <v>0</v>
      </c>
      <c r="W112" s="710"/>
      <c r="X112" s="711"/>
      <c r="Y112" s="732">
        <f t="shared" si="109"/>
        <v>0</v>
      </c>
      <c r="Z112" s="733">
        <f t="shared" si="110"/>
        <v>0</v>
      </c>
      <c r="AA112" s="710"/>
      <c r="AB112" s="711"/>
      <c r="AC112" s="732">
        <f t="shared" si="111"/>
        <v>0</v>
      </c>
      <c r="AD112" s="733">
        <f t="shared" si="112"/>
        <v>0</v>
      </c>
      <c r="AE112" s="712"/>
      <c r="AF112" s="711"/>
      <c r="AG112" s="732">
        <f t="shared" si="113"/>
        <v>0</v>
      </c>
      <c r="AH112" s="733">
        <f t="shared" si="114"/>
        <v>0</v>
      </c>
      <c r="AI112" s="712"/>
      <c r="AJ112" s="708"/>
      <c r="AK112" s="733">
        <f t="shared" si="115"/>
        <v>0</v>
      </c>
      <c r="AL112" s="713"/>
    </row>
    <row r="113" spans="2:38" s="250" customFormat="1" ht="19.5" customHeight="1" outlineLevel="1">
      <c r="B113" s="699">
        <f>'Master BOQ Pricing_2018-01-08'!B113</f>
        <v>6.21</v>
      </c>
      <c r="C113" s="700" t="str">
        <f>'Master BOQ Pricing_2018-01-08'!C113</f>
        <v>Install iMonnit Equipment in Indoor POP</v>
      </c>
      <c r="D113" s="727" t="str">
        <f>'Master BOQ Pricing_2018-01-08'!D113</f>
        <v>ea</v>
      </c>
      <c r="E113" s="773"/>
      <c r="F113" s="703"/>
      <c r="G113" s="704">
        <f t="shared" si="117"/>
        <v>0</v>
      </c>
      <c r="H113" s="728"/>
      <c r="I113" s="729"/>
      <c r="J113" s="728"/>
      <c r="K113" s="729"/>
      <c r="L113" s="728"/>
      <c r="M113" s="729"/>
      <c r="N113" s="728"/>
      <c r="O113" s="729"/>
      <c r="P113" s="728"/>
      <c r="Q113" s="730"/>
      <c r="R113" s="731"/>
      <c r="S113" s="729"/>
      <c r="T113" s="711"/>
      <c r="U113" s="732">
        <f t="shared" si="107"/>
        <v>0</v>
      </c>
      <c r="V113" s="733">
        <f t="shared" si="108"/>
        <v>0</v>
      </c>
      <c r="W113" s="710"/>
      <c r="X113" s="711"/>
      <c r="Y113" s="732">
        <f t="shared" si="109"/>
        <v>0</v>
      </c>
      <c r="Z113" s="733">
        <f t="shared" si="110"/>
        <v>0</v>
      </c>
      <c r="AA113" s="710"/>
      <c r="AB113" s="711"/>
      <c r="AC113" s="732">
        <f t="shared" si="111"/>
        <v>0</v>
      </c>
      <c r="AD113" s="733">
        <f t="shared" si="112"/>
        <v>0</v>
      </c>
      <c r="AE113" s="712"/>
      <c r="AF113" s="711"/>
      <c r="AG113" s="732">
        <f t="shared" si="113"/>
        <v>0</v>
      </c>
      <c r="AH113" s="733">
        <f t="shared" si="114"/>
        <v>0</v>
      </c>
      <c r="AI113" s="712"/>
      <c r="AJ113" s="708"/>
      <c r="AK113" s="733">
        <f t="shared" si="115"/>
        <v>0</v>
      </c>
      <c r="AL113" s="713"/>
    </row>
    <row r="114" spans="2:38" s="250" customFormat="1" ht="19.5" customHeight="1" outlineLevel="1">
      <c r="B114" s="699">
        <f>'Master BOQ Pricing_2018-01-08'!B114</f>
        <v>6.22</v>
      </c>
      <c r="C114" s="700" t="str">
        <f>'Master BOQ Pricing_2018-01-08'!C114</f>
        <v>Install iMonnit Equipment in Street Cabinet POP</v>
      </c>
      <c r="D114" s="727" t="str">
        <f>'Master BOQ Pricing_2018-01-08'!D114</f>
        <v>ea</v>
      </c>
      <c r="E114" s="773"/>
      <c r="F114" s="703"/>
      <c r="G114" s="704">
        <f t="shared" si="117"/>
        <v>0</v>
      </c>
      <c r="H114" s="728"/>
      <c r="I114" s="729"/>
      <c r="J114" s="728"/>
      <c r="K114" s="729"/>
      <c r="L114" s="728"/>
      <c r="M114" s="729"/>
      <c r="N114" s="728"/>
      <c r="O114" s="729"/>
      <c r="P114" s="728"/>
      <c r="Q114" s="730"/>
      <c r="R114" s="731"/>
      <c r="S114" s="729"/>
      <c r="T114" s="711"/>
      <c r="U114" s="732">
        <f t="shared" si="107"/>
        <v>0</v>
      </c>
      <c r="V114" s="733">
        <f t="shared" si="108"/>
        <v>0</v>
      </c>
      <c r="W114" s="710"/>
      <c r="X114" s="711"/>
      <c r="Y114" s="732">
        <f t="shared" si="109"/>
        <v>0</v>
      </c>
      <c r="Z114" s="733">
        <f t="shared" si="110"/>
        <v>0</v>
      </c>
      <c r="AA114" s="710"/>
      <c r="AB114" s="711"/>
      <c r="AC114" s="732">
        <f t="shared" si="111"/>
        <v>0</v>
      </c>
      <c r="AD114" s="733">
        <f t="shared" si="112"/>
        <v>0</v>
      </c>
      <c r="AE114" s="712"/>
      <c r="AF114" s="711"/>
      <c r="AG114" s="732">
        <f t="shared" si="113"/>
        <v>0</v>
      </c>
      <c r="AH114" s="733">
        <f t="shared" si="114"/>
        <v>0</v>
      </c>
      <c r="AI114" s="712"/>
      <c r="AJ114" s="708"/>
      <c r="AK114" s="733">
        <f t="shared" si="115"/>
        <v>0</v>
      </c>
      <c r="AL114" s="713"/>
    </row>
    <row r="115" spans="2:38" s="250" customFormat="1">
      <c r="B115" s="741">
        <f>'Master BOQ Pricing_2018-01-08'!B115</f>
        <v>7</v>
      </c>
      <c r="C115" s="742" t="str">
        <f>'Master BOQ Pricing_2018-01-08'!C115</f>
        <v xml:space="preserve">SPECIALISED CROSSINGS </v>
      </c>
      <c r="D115" s="764"/>
      <c r="E115" s="765"/>
      <c r="F115" s="774"/>
      <c r="G115" s="775"/>
      <c r="H115" s="776"/>
      <c r="I115" s="775"/>
      <c r="J115" s="776"/>
      <c r="K115" s="746">
        <f>SUBTOTAL(9,K116:K123)</f>
        <v>0</v>
      </c>
      <c r="L115" s="776"/>
      <c r="M115" s="775"/>
      <c r="N115" s="776"/>
      <c r="O115" s="775"/>
      <c r="P115" s="776"/>
      <c r="Q115" s="777"/>
      <c r="R115" s="778"/>
      <c r="S115" s="775"/>
      <c r="T115" s="779"/>
      <c r="U115" s="780"/>
      <c r="V115" s="781"/>
      <c r="W115" s="782"/>
      <c r="X115" s="779"/>
      <c r="Y115" s="755"/>
      <c r="Z115" s="756"/>
      <c r="AA115" s="757"/>
      <c r="AB115" s="758"/>
      <c r="AC115" s="755"/>
      <c r="AD115" s="756"/>
      <c r="AE115" s="759"/>
      <c r="AF115" s="758"/>
      <c r="AG115" s="755"/>
      <c r="AH115" s="756"/>
      <c r="AI115" s="759"/>
      <c r="AJ115" s="760"/>
      <c r="AK115" s="756"/>
      <c r="AL115" s="761"/>
    </row>
    <row r="116" spans="2:38" s="527" customFormat="1" ht="27.6" outlineLevel="1">
      <c r="B116" s="699">
        <f>'Master BOQ Pricing_2018-01-08'!B116</f>
        <v>7.01</v>
      </c>
      <c r="C116" s="700" t="str">
        <f>'Master BOQ Pricing_2018-01-08'!C116</f>
        <v>Thrust boring/directional drilling and installation of 1 x 110mm HDPE duct Class 6 or higher in normal soil (LA supply the Drill pipe and do the scanning)</v>
      </c>
      <c r="D116" s="727" t="str">
        <f>'Master BOQ Pricing_2018-01-08'!D116</f>
        <v>m</v>
      </c>
      <c r="E116" s="702">
        <f>'Master BOQ Pricing_2018-01-08'!E116</f>
        <v>250</v>
      </c>
      <c r="F116" s="762"/>
      <c r="G116" s="729"/>
      <c r="H116" s="728"/>
      <c r="I116" s="729"/>
      <c r="J116" s="783">
        <f>'ROUTE INFO'!F52</f>
        <v>0</v>
      </c>
      <c r="K116" s="704">
        <f>+J116*$E116</f>
        <v>0</v>
      </c>
      <c r="L116" s="767"/>
      <c r="M116" s="729"/>
      <c r="N116" s="767"/>
      <c r="O116" s="729"/>
      <c r="P116" s="767"/>
      <c r="Q116" s="768"/>
      <c r="R116" s="769"/>
      <c r="S116" s="729"/>
      <c r="T116" s="711"/>
      <c r="U116" s="732">
        <f>T116+J116</f>
        <v>0</v>
      </c>
      <c r="V116" s="733">
        <f>U116*E116</f>
        <v>0</v>
      </c>
      <c r="W116" s="710"/>
      <c r="X116" s="711"/>
      <c r="Y116" s="732">
        <f t="shared" si="100"/>
        <v>0</v>
      </c>
      <c r="Z116" s="733">
        <f t="shared" si="101"/>
        <v>0</v>
      </c>
      <c r="AA116" s="710"/>
      <c r="AB116" s="711"/>
      <c r="AC116" s="732">
        <f t="shared" si="102"/>
        <v>0</v>
      </c>
      <c r="AD116" s="733">
        <f t="shared" si="103"/>
        <v>0</v>
      </c>
      <c r="AE116" s="712"/>
      <c r="AF116" s="711"/>
      <c r="AG116" s="732">
        <f t="shared" si="104"/>
        <v>0</v>
      </c>
      <c r="AH116" s="733">
        <f t="shared" si="105"/>
        <v>0</v>
      </c>
      <c r="AI116" s="712"/>
      <c r="AJ116" s="708"/>
      <c r="AK116" s="733">
        <f t="shared" si="106"/>
        <v>0</v>
      </c>
      <c r="AL116" s="713"/>
    </row>
    <row r="117" spans="2:38" s="527" customFormat="1" ht="27.6" outlineLevel="1">
      <c r="B117" s="699">
        <f>'Master BOQ Pricing_2018-01-08'!B117</f>
        <v>7.02</v>
      </c>
      <c r="C117" s="700" t="str">
        <f>'Master BOQ Pricing_2018-01-08'!C117</f>
        <v>Thrust boring/directional drilling and installation of 1 x 110mm HDPE duct Class 6 or higher in normal soil (SP supply the Drill pipe and do his own scanning)</v>
      </c>
      <c r="D117" s="727" t="str">
        <f>'Master BOQ Pricing_2018-01-08'!D117</f>
        <v>m</v>
      </c>
      <c r="E117" s="702">
        <f>'Master BOQ Pricing_2018-01-08'!E117</f>
        <v>500</v>
      </c>
      <c r="F117" s="762"/>
      <c r="G117" s="729"/>
      <c r="H117" s="728"/>
      <c r="I117" s="729"/>
      <c r="J117" s="703">
        <v>0</v>
      </c>
      <c r="K117" s="704">
        <f>+J117*$E117</f>
        <v>0</v>
      </c>
      <c r="L117" s="767"/>
      <c r="M117" s="729"/>
      <c r="N117" s="767"/>
      <c r="O117" s="729"/>
      <c r="P117" s="767"/>
      <c r="Q117" s="768"/>
      <c r="R117" s="769"/>
      <c r="S117" s="729"/>
      <c r="T117" s="711"/>
      <c r="U117" s="732">
        <f t="shared" ref="U117:U123" si="118">T117+J117</f>
        <v>0</v>
      </c>
      <c r="V117" s="733">
        <f t="shared" ref="V117:V123" si="119">U117*E117</f>
        <v>0</v>
      </c>
      <c r="W117" s="710"/>
      <c r="X117" s="711"/>
      <c r="Y117" s="732">
        <f t="shared" ref="Y117:Y123" si="120">X117+U117</f>
        <v>0</v>
      </c>
      <c r="Z117" s="733">
        <f t="shared" ref="Z117:Z123" si="121">Y117*E117</f>
        <v>0</v>
      </c>
      <c r="AA117" s="710"/>
      <c r="AB117" s="711"/>
      <c r="AC117" s="732">
        <f t="shared" ref="AC117:AC123" si="122">AB117+Y117</f>
        <v>0</v>
      </c>
      <c r="AD117" s="733">
        <f t="shared" ref="AD117:AD123" si="123">AC117*E117</f>
        <v>0</v>
      </c>
      <c r="AE117" s="712"/>
      <c r="AF117" s="711"/>
      <c r="AG117" s="732">
        <f t="shared" ref="AG117:AG123" si="124">AF117+AC117</f>
        <v>0</v>
      </c>
      <c r="AH117" s="733">
        <f t="shared" ref="AH117:AH123" si="125">AG117*E117</f>
        <v>0</v>
      </c>
      <c r="AI117" s="712"/>
      <c r="AJ117" s="708"/>
      <c r="AK117" s="733">
        <f t="shared" ref="AK117:AK123" si="126">AJ117*E117</f>
        <v>0</v>
      </c>
      <c r="AL117" s="713"/>
    </row>
    <row r="118" spans="2:38" s="527" customFormat="1" outlineLevel="1">
      <c r="B118" s="699">
        <f>'Master BOQ Pricing_2018-01-08'!B118</f>
        <v>7.03</v>
      </c>
      <c r="C118" s="700" t="str">
        <f>'Master BOQ Pricing_2018-01-08'!C118</f>
        <v>Thrust boring/directional drilling and installation of 2 x 110mm HDPE duct Class 6 or higher in normal soil</v>
      </c>
      <c r="D118" s="727" t="str">
        <f>'Master BOQ Pricing_2018-01-08'!D118</f>
        <v>m</v>
      </c>
      <c r="E118" s="702">
        <f>'Master BOQ Pricing_2018-01-08'!E118</f>
        <v>900</v>
      </c>
      <c r="F118" s="762"/>
      <c r="G118" s="729"/>
      <c r="H118" s="728"/>
      <c r="I118" s="729"/>
      <c r="J118" s="703">
        <v>0</v>
      </c>
      <c r="K118" s="704">
        <f t="shared" ref="K118:K123" si="127">+J118*$E118</f>
        <v>0</v>
      </c>
      <c r="L118" s="767"/>
      <c r="M118" s="729"/>
      <c r="N118" s="767"/>
      <c r="O118" s="729"/>
      <c r="P118" s="767"/>
      <c r="Q118" s="768"/>
      <c r="R118" s="769"/>
      <c r="S118" s="729"/>
      <c r="T118" s="711"/>
      <c r="U118" s="732">
        <f t="shared" si="118"/>
        <v>0</v>
      </c>
      <c r="V118" s="733">
        <f t="shared" si="119"/>
        <v>0</v>
      </c>
      <c r="W118" s="710"/>
      <c r="X118" s="711"/>
      <c r="Y118" s="732">
        <f t="shared" si="120"/>
        <v>0</v>
      </c>
      <c r="Z118" s="733">
        <f t="shared" si="121"/>
        <v>0</v>
      </c>
      <c r="AA118" s="710"/>
      <c r="AB118" s="711"/>
      <c r="AC118" s="732">
        <f t="shared" si="122"/>
        <v>0</v>
      </c>
      <c r="AD118" s="733">
        <f t="shared" si="123"/>
        <v>0</v>
      </c>
      <c r="AE118" s="712"/>
      <c r="AF118" s="711"/>
      <c r="AG118" s="732">
        <f t="shared" si="124"/>
        <v>0</v>
      </c>
      <c r="AH118" s="733">
        <f t="shared" si="125"/>
        <v>0</v>
      </c>
      <c r="AI118" s="712"/>
      <c r="AJ118" s="708"/>
      <c r="AK118" s="733">
        <f t="shared" si="126"/>
        <v>0</v>
      </c>
      <c r="AL118" s="713"/>
    </row>
    <row r="119" spans="2:38" s="527" customFormat="1" outlineLevel="1">
      <c r="B119" s="699">
        <f>'Master BOQ Pricing_2018-01-08'!B119</f>
        <v>7.04</v>
      </c>
      <c r="C119" s="700" t="str">
        <f>'Master BOQ Pricing_2018-01-08'!C119</f>
        <v>Thrust boring/directional drilling and installation of 1 x 110mm HDPE duct Class 6 or higher in intermediate rock</v>
      </c>
      <c r="D119" s="727" t="str">
        <f>'Master BOQ Pricing_2018-01-08'!D119</f>
        <v>m</v>
      </c>
      <c r="E119" s="702">
        <f>'Master BOQ Pricing_2018-01-08'!E119</f>
        <v>730</v>
      </c>
      <c r="F119" s="762"/>
      <c r="G119" s="729"/>
      <c r="H119" s="728"/>
      <c r="I119" s="729"/>
      <c r="J119" s="703">
        <v>0</v>
      </c>
      <c r="K119" s="704">
        <f t="shared" si="127"/>
        <v>0</v>
      </c>
      <c r="L119" s="767"/>
      <c r="M119" s="729"/>
      <c r="N119" s="767"/>
      <c r="O119" s="729"/>
      <c r="P119" s="767"/>
      <c r="Q119" s="768"/>
      <c r="R119" s="769"/>
      <c r="S119" s="729"/>
      <c r="T119" s="711"/>
      <c r="U119" s="732">
        <f t="shared" si="118"/>
        <v>0</v>
      </c>
      <c r="V119" s="733">
        <f t="shared" si="119"/>
        <v>0</v>
      </c>
      <c r="W119" s="710"/>
      <c r="X119" s="711"/>
      <c r="Y119" s="732">
        <f t="shared" si="120"/>
        <v>0</v>
      </c>
      <c r="Z119" s="733">
        <f t="shared" si="121"/>
        <v>0</v>
      </c>
      <c r="AA119" s="710"/>
      <c r="AB119" s="711"/>
      <c r="AC119" s="732">
        <f t="shared" si="122"/>
        <v>0</v>
      </c>
      <c r="AD119" s="733">
        <f t="shared" si="123"/>
        <v>0</v>
      </c>
      <c r="AE119" s="712"/>
      <c r="AF119" s="711"/>
      <c r="AG119" s="732">
        <f t="shared" si="124"/>
        <v>0</v>
      </c>
      <c r="AH119" s="733">
        <f t="shared" si="125"/>
        <v>0</v>
      </c>
      <c r="AI119" s="712"/>
      <c r="AJ119" s="708"/>
      <c r="AK119" s="733">
        <f t="shared" si="126"/>
        <v>0</v>
      </c>
      <c r="AL119" s="713"/>
    </row>
    <row r="120" spans="2:38" s="527" customFormat="1" outlineLevel="1">
      <c r="B120" s="699">
        <f>'Master BOQ Pricing_2018-01-08'!B120</f>
        <v>7.05</v>
      </c>
      <c r="C120" s="700" t="str">
        <f>'Master BOQ Pricing_2018-01-08'!C120</f>
        <v>Thrust boring/directional drilling and installation of 2 x 110mm HDPE duct Class 6 or higher in intermediate rock</v>
      </c>
      <c r="D120" s="727" t="str">
        <f>'Master BOQ Pricing_2018-01-08'!D120</f>
        <v>m</v>
      </c>
      <c r="E120" s="702">
        <f>'Master BOQ Pricing_2018-01-08'!E120</f>
        <v>1200</v>
      </c>
      <c r="F120" s="762"/>
      <c r="G120" s="729"/>
      <c r="H120" s="728"/>
      <c r="I120" s="729"/>
      <c r="J120" s="703">
        <v>0</v>
      </c>
      <c r="K120" s="704">
        <f t="shared" si="127"/>
        <v>0</v>
      </c>
      <c r="L120" s="767"/>
      <c r="M120" s="729"/>
      <c r="N120" s="767"/>
      <c r="O120" s="729"/>
      <c r="P120" s="767"/>
      <c r="Q120" s="768"/>
      <c r="R120" s="769"/>
      <c r="S120" s="729"/>
      <c r="T120" s="711"/>
      <c r="U120" s="732">
        <f t="shared" si="118"/>
        <v>0</v>
      </c>
      <c r="V120" s="733">
        <f t="shared" si="119"/>
        <v>0</v>
      </c>
      <c r="W120" s="710"/>
      <c r="X120" s="711"/>
      <c r="Y120" s="732">
        <f t="shared" si="120"/>
        <v>0</v>
      </c>
      <c r="Z120" s="733">
        <f t="shared" si="121"/>
        <v>0</v>
      </c>
      <c r="AA120" s="710"/>
      <c r="AB120" s="711"/>
      <c r="AC120" s="732">
        <f t="shared" si="122"/>
        <v>0</v>
      </c>
      <c r="AD120" s="733">
        <f t="shared" si="123"/>
        <v>0</v>
      </c>
      <c r="AE120" s="712"/>
      <c r="AF120" s="711"/>
      <c r="AG120" s="732">
        <f t="shared" si="124"/>
        <v>0</v>
      </c>
      <c r="AH120" s="733">
        <f t="shared" si="125"/>
        <v>0</v>
      </c>
      <c r="AI120" s="712"/>
      <c r="AJ120" s="708"/>
      <c r="AK120" s="733">
        <f t="shared" si="126"/>
        <v>0</v>
      </c>
      <c r="AL120" s="713"/>
    </row>
    <row r="121" spans="2:38" s="527" customFormat="1" outlineLevel="1">
      <c r="B121" s="699">
        <f>'Master BOQ Pricing_2018-01-08'!B121</f>
        <v>7.06</v>
      </c>
      <c r="C121" s="700" t="str">
        <f>'Master BOQ Pricing_2018-01-08'!C121</f>
        <v>Supply and install of pipe and accessories for 1-way bridge attachment for bridge crossing</v>
      </c>
      <c r="D121" s="727" t="str">
        <f>'Master BOQ Pricing_2018-01-08'!D121</f>
        <v>m</v>
      </c>
      <c r="E121" s="702">
        <f>'Master BOQ Pricing_2018-01-08'!E121</f>
        <v>449.2</v>
      </c>
      <c r="F121" s="762"/>
      <c r="G121" s="729"/>
      <c r="H121" s="728"/>
      <c r="I121" s="729"/>
      <c r="J121" s="703">
        <v>0</v>
      </c>
      <c r="K121" s="704">
        <f t="shared" si="127"/>
        <v>0</v>
      </c>
      <c r="L121" s="767"/>
      <c r="M121" s="729"/>
      <c r="N121" s="767"/>
      <c r="O121" s="729"/>
      <c r="P121" s="767"/>
      <c r="Q121" s="768"/>
      <c r="R121" s="769"/>
      <c r="S121" s="729"/>
      <c r="T121" s="711"/>
      <c r="U121" s="732">
        <f t="shared" si="118"/>
        <v>0</v>
      </c>
      <c r="V121" s="733">
        <f t="shared" si="119"/>
        <v>0</v>
      </c>
      <c r="W121" s="710"/>
      <c r="X121" s="711"/>
      <c r="Y121" s="732">
        <f t="shared" si="120"/>
        <v>0</v>
      </c>
      <c r="Z121" s="733">
        <f t="shared" si="121"/>
        <v>0</v>
      </c>
      <c r="AA121" s="710"/>
      <c r="AB121" s="711"/>
      <c r="AC121" s="732">
        <f t="shared" si="122"/>
        <v>0</v>
      </c>
      <c r="AD121" s="733">
        <f t="shared" si="123"/>
        <v>0</v>
      </c>
      <c r="AE121" s="712"/>
      <c r="AF121" s="711"/>
      <c r="AG121" s="732">
        <f t="shared" si="124"/>
        <v>0</v>
      </c>
      <c r="AH121" s="733">
        <f t="shared" si="125"/>
        <v>0</v>
      </c>
      <c r="AI121" s="712"/>
      <c r="AJ121" s="708"/>
      <c r="AK121" s="733">
        <f t="shared" si="126"/>
        <v>0</v>
      </c>
      <c r="AL121" s="713"/>
    </row>
    <row r="122" spans="2:38" s="527" customFormat="1" outlineLevel="1">
      <c r="B122" s="699">
        <f>'Master BOQ Pricing_2018-01-08'!B122</f>
        <v>7.07</v>
      </c>
      <c r="C122" s="700" t="str">
        <f>'Master BOQ Pricing_2018-01-08'!C122</f>
        <v>Scanning For Directional Drilling</v>
      </c>
      <c r="D122" s="727" t="str">
        <f>'Master BOQ Pricing_2018-01-08'!D122</f>
        <v>m</v>
      </c>
      <c r="E122" s="702">
        <f>'Master BOQ Pricing_2018-01-08'!E122</f>
        <v>77.5</v>
      </c>
      <c r="F122" s="762"/>
      <c r="G122" s="729"/>
      <c r="H122" s="728"/>
      <c r="I122" s="729"/>
      <c r="J122" s="703">
        <v>0</v>
      </c>
      <c r="K122" s="704">
        <f t="shared" si="127"/>
        <v>0</v>
      </c>
      <c r="L122" s="767"/>
      <c r="M122" s="729"/>
      <c r="N122" s="767"/>
      <c r="O122" s="729"/>
      <c r="P122" s="767"/>
      <c r="Q122" s="768"/>
      <c r="R122" s="769"/>
      <c r="S122" s="729"/>
      <c r="T122" s="711"/>
      <c r="U122" s="732">
        <f t="shared" si="118"/>
        <v>0</v>
      </c>
      <c r="V122" s="733">
        <f t="shared" si="119"/>
        <v>0</v>
      </c>
      <c r="W122" s="710"/>
      <c r="X122" s="711"/>
      <c r="Y122" s="732">
        <f t="shared" si="120"/>
        <v>0</v>
      </c>
      <c r="Z122" s="733">
        <f t="shared" si="121"/>
        <v>0</v>
      </c>
      <c r="AA122" s="710"/>
      <c r="AB122" s="711"/>
      <c r="AC122" s="732">
        <f t="shared" si="122"/>
        <v>0</v>
      </c>
      <c r="AD122" s="733">
        <f t="shared" si="123"/>
        <v>0</v>
      </c>
      <c r="AE122" s="712"/>
      <c r="AF122" s="711"/>
      <c r="AG122" s="732">
        <f t="shared" si="124"/>
        <v>0</v>
      </c>
      <c r="AH122" s="733">
        <f t="shared" si="125"/>
        <v>0</v>
      </c>
      <c r="AI122" s="712"/>
      <c r="AJ122" s="708"/>
      <c r="AK122" s="733">
        <f t="shared" si="126"/>
        <v>0</v>
      </c>
      <c r="AL122" s="713"/>
    </row>
    <row r="123" spans="2:38" s="527" customFormat="1" ht="27.6" outlineLevel="1">
      <c r="B123" s="699">
        <f>'Master BOQ Pricing_2018-01-08'!B123</f>
        <v>7.08</v>
      </c>
      <c r="C123" s="700" t="str">
        <f>'Master BOQ Pricing_2018-01-08'!C123</f>
        <v>Soil displacement / Thrust boring and installation of 1 x 50/43mm sub duct Class 6 or higher in normal or intermediate soil</v>
      </c>
      <c r="D123" s="727" t="str">
        <f>'Master BOQ Pricing_2018-01-08'!D123</f>
        <v>m</v>
      </c>
      <c r="E123" s="702">
        <f>'Master BOQ Pricing_2018-01-08'!E123</f>
        <v>72</v>
      </c>
      <c r="F123" s="762"/>
      <c r="G123" s="729"/>
      <c r="H123" s="728"/>
      <c r="I123" s="729"/>
      <c r="J123" s="783">
        <v>0</v>
      </c>
      <c r="K123" s="704">
        <f t="shared" si="127"/>
        <v>0</v>
      </c>
      <c r="L123" s="767"/>
      <c r="M123" s="729"/>
      <c r="N123" s="767"/>
      <c r="O123" s="729"/>
      <c r="P123" s="767"/>
      <c r="Q123" s="768"/>
      <c r="R123" s="769"/>
      <c r="S123" s="729"/>
      <c r="T123" s="711"/>
      <c r="U123" s="732">
        <f t="shared" si="118"/>
        <v>0</v>
      </c>
      <c r="V123" s="733">
        <f t="shared" si="119"/>
        <v>0</v>
      </c>
      <c r="W123" s="710"/>
      <c r="X123" s="711"/>
      <c r="Y123" s="732">
        <f t="shared" si="120"/>
        <v>0</v>
      </c>
      <c r="Z123" s="733">
        <f t="shared" si="121"/>
        <v>0</v>
      </c>
      <c r="AA123" s="710"/>
      <c r="AB123" s="711"/>
      <c r="AC123" s="732">
        <f t="shared" si="122"/>
        <v>0</v>
      </c>
      <c r="AD123" s="733">
        <f t="shared" si="123"/>
        <v>0</v>
      </c>
      <c r="AE123" s="712"/>
      <c r="AF123" s="711"/>
      <c r="AG123" s="732">
        <f t="shared" si="124"/>
        <v>0</v>
      </c>
      <c r="AH123" s="733">
        <f t="shared" si="125"/>
        <v>0</v>
      </c>
      <c r="AI123" s="712"/>
      <c r="AJ123" s="708"/>
      <c r="AK123" s="733">
        <f t="shared" si="126"/>
        <v>0</v>
      </c>
      <c r="AL123" s="713"/>
    </row>
    <row r="124" spans="2:38" s="527" customFormat="1">
      <c r="B124" s="741">
        <f>'Master BOQ Pricing_2018-01-08'!B124</f>
        <v>8</v>
      </c>
      <c r="C124" s="742" t="str">
        <f>'Master BOQ Pricing_2018-01-08'!C124</f>
        <v>IN-BUILDING INSTALLATION</v>
      </c>
      <c r="D124" s="764"/>
      <c r="E124" s="765"/>
      <c r="F124" s="784"/>
      <c r="G124" s="746">
        <f>SUBTOTAL(9,G125:G159)</f>
        <v>2028.67</v>
      </c>
      <c r="H124" s="747"/>
      <c r="I124" s="748"/>
      <c r="J124" s="747"/>
      <c r="K124" s="748"/>
      <c r="L124" s="747"/>
      <c r="M124" s="748"/>
      <c r="N124" s="747"/>
      <c r="O124" s="748"/>
      <c r="P124" s="747"/>
      <c r="Q124" s="749"/>
      <c r="R124" s="750"/>
      <c r="S124" s="748"/>
      <c r="T124" s="751"/>
      <c r="U124" s="752"/>
      <c r="V124" s="753"/>
      <c r="W124" s="754"/>
      <c r="X124" s="751"/>
      <c r="Y124" s="755"/>
      <c r="Z124" s="756"/>
      <c r="AA124" s="757"/>
      <c r="AB124" s="758"/>
      <c r="AC124" s="755"/>
      <c r="AD124" s="756"/>
      <c r="AE124" s="759"/>
      <c r="AF124" s="758"/>
      <c r="AG124" s="755"/>
      <c r="AH124" s="756"/>
      <c r="AI124" s="759"/>
      <c r="AJ124" s="760"/>
      <c r="AK124" s="756"/>
      <c r="AL124" s="761"/>
    </row>
    <row r="125" spans="2:38" s="527" customFormat="1" outlineLevel="1">
      <c r="B125" s="699">
        <f>'Master BOQ Pricing_2018-01-08'!B125</f>
        <v>8.01</v>
      </c>
      <c r="C125" s="700" t="str">
        <f>'Master BOQ Pricing_2018-01-08'!C125</f>
        <v>External wall core drilling - diameter 50mm - 130mm (Building outer wall ≤250mm wide)</v>
      </c>
      <c r="D125" s="727" t="str">
        <f>'Master BOQ Pricing_2018-01-08'!D125</f>
        <v>ea</v>
      </c>
      <c r="E125" s="702">
        <f>'Master BOQ Pricing_2018-01-08'!E125</f>
        <v>200</v>
      </c>
      <c r="F125" s="703"/>
      <c r="G125" s="704">
        <f>+F125*E125</f>
        <v>0</v>
      </c>
      <c r="H125" s="728"/>
      <c r="I125" s="729"/>
      <c r="J125" s="728"/>
      <c r="K125" s="729"/>
      <c r="L125" s="728"/>
      <c r="M125" s="729"/>
      <c r="N125" s="728"/>
      <c r="O125" s="729"/>
      <c r="P125" s="728"/>
      <c r="Q125" s="730"/>
      <c r="R125" s="731"/>
      <c r="S125" s="729"/>
      <c r="T125" s="711"/>
      <c r="U125" s="732">
        <f>T125+F125</f>
        <v>0</v>
      </c>
      <c r="V125" s="733">
        <f>U125*E125</f>
        <v>0</v>
      </c>
      <c r="W125" s="710"/>
      <c r="X125" s="711"/>
      <c r="Y125" s="732">
        <f t="shared" si="100"/>
        <v>0</v>
      </c>
      <c r="Z125" s="733">
        <f t="shared" si="101"/>
        <v>0</v>
      </c>
      <c r="AA125" s="710"/>
      <c r="AB125" s="711"/>
      <c r="AC125" s="732">
        <f t="shared" si="102"/>
        <v>0</v>
      </c>
      <c r="AD125" s="733">
        <f t="shared" si="103"/>
        <v>0</v>
      </c>
      <c r="AE125" s="712"/>
      <c r="AF125" s="711"/>
      <c r="AG125" s="732">
        <f t="shared" si="104"/>
        <v>0</v>
      </c>
      <c r="AH125" s="733">
        <f t="shared" si="105"/>
        <v>0</v>
      </c>
      <c r="AI125" s="712"/>
      <c r="AJ125" s="708"/>
      <c r="AK125" s="733">
        <f t="shared" si="106"/>
        <v>0</v>
      </c>
      <c r="AL125" s="713"/>
    </row>
    <row r="126" spans="2:38" s="527" customFormat="1" outlineLevel="1">
      <c r="B126" s="699">
        <f>'Master BOQ Pricing_2018-01-08'!B126</f>
        <v>8.02</v>
      </c>
      <c r="C126" s="700" t="str">
        <f>'Master BOQ Pricing_2018-01-08'!C126</f>
        <v>External wall core drilling - diameter &gt;150mm (Building outer wall &gt; 250mm wide)</v>
      </c>
      <c r="D126" s="727" t="str">
        <f>'Master BOQ Pricing_2018-01-08'!D126</f>
        <v>ea</v>
      </c>
      <c r="E126" s="702">
        <f>'Master BOQ Pricing_2018-01-08'!E126</f>
        <v>480</v>
      </c>
      <c r="F126" s="703"/>
      <c r="G126" s="704">
        <f t="shared" ref="G126:G144" si="128">+F126*E126</f>
        <v>0</v>
      </c>
      <c r="H126" s="728"/>
      <c r="I126" s="729"/>
      <c r="J126" s="728"/>
      <c r="K126" s="729"/>
      <c r="L126" s="728"/>
      <c r="M126" s="729"/>
      <c r="N126" s="728"/>
      <c r="O126" s="729"/>
      <c r="P126" s="728"/>
      <c r="Q126" s="730"/>
      <c r="R126" s="731"/>
      <c r="S126" s="729"/>
      <c r="T126" s="711"/>
      <c r="U126" s="732">
        <f t="shared" ref="U126:U144" si="129">T126+F126</f>
        <v>0</v>
      </c>
      <c r="V126" s="733">
        <f t="shared" ref="V126:V144" si="130">U126*E126</f>
        <v>0</v>
      </c>
      <c r="W126" s="710"/>
      <c r="X126" s="711"/>
      <c r="Y126" s="732">
        <f t="shared" si="100"/>
        <v>0</v>
      </c>
      <c r="Z126" s="733">
        <f t="shared" si="101"/>
        <v>0</v>
      </c>
      <c r="AA126" s="710"/>
      <c r="AB126" s="711"/>
      <c r="AC126" s="732">
        <f t="shared" si="102"/>
        <v>0</v>
      </c>
      <c r="AD126" s="733">
        <f t="shared" si="103"/>
        <v>0</v>
      </c>
      <c r="AE126" s="712"/>
      <c r="AF126" s="711"/>
      <c r="AG126" s="732">
        <f t="shared" si="104"/>
        <v>0</v>
      </c>
      <c r="AH126" s="733">
        <f t="shared" si="105"/>
        <v>0</v>
      </c>
      <c r="AI126" s="712"/>
      <c r="AJ126" s="708"/>
      <c r="AK126" s="733">
        <f t="shared" si="106"/>
        <v>0</v>
      </c>
      <c r="AL126" s="713"/>
    </row>
    <row r="127" spans="2:38" s="527" customFormat="1" outlineLevel="1">
      <c r="B127" s="699">
        <f>'Master BOQ Pricing_2018-01-08'!B127</f>
        <v>8.0299999999999994</v>
      </c>
      <c r="C127" s="700" t="str">
        <f>'Master BOQ Pricing_2018-01-08'!C127</f>
        <v>Core drilling (Concrete apron 300mm deep x 75mm diameter)</v>
      </c>
      <c r="D127" s="727" t="str">
        <f>'Master BOQ Pricing_2018-01-08'!D127</f>
        <v>ea</v>
      </c>
      <c r="E127" s="702">
        <f>'Master BOQ Pricing_2018-01-08'!E127</f>
        <v>450</v>
      </c>
      <c r="F127" s="703"/>
      <c r="G127" s="704">
        <f t="shared" si="128"/>
        <v>0</v>
      </c>
      <c r="H127" s="728"/>
      <c r="I127" s="729"/>
      <c r="J127" s="728"/>
      <c r="K127" s="729"/>
      <c r="L127" s="728"/>
      <c r="M127" s="729"/>
      <c r="N127" s="728"/>
      <c r="O127" s="729"/>
      <c r="P127" s="728"/>
      <c r="Q127" s="730"/>
      <c r="R127" s="731"/>
      <c r="S127" s="729"/>
      <c r="T127" s="711"/>
      <c r="U127" s="732">
        <f t="shared" si="129"/>
        <v>0</v>
      </c>
      <c r="V127" s="733">
        <f t="shared" si="130"/>
        <v>0</v>
      </c>
      <c r="W127" s="710"/>
      <c r="X127" s="711"/>
      <c r="Y127" s="732">
        <f t="shared" si="100"/>
        <v>0</v>
      </c>
      <c r="Z127" s="733">
        <f t="shared" si="101"/>
        <v>0</v>
      </c>
      <c r="AA127" s="710"/>
      <c r="AB127" s="711"/>
      <c r="AC127" s="732">
        <f t="shared" si="102"/>
        <v>0</v>
      </c>
      <c r="AD127" s="733">
        <f t="shared" si="103"/>
        <v>0</v>
      </c>
      <c r="AE127" s="712"/>
      <c r="AF127" s="711"/>
      <c r="AG127" s="732">
        <f t="shared" si="104"/>
        <v>0</v>
      </c>
      <c r="AH127" s="733">
        <f t="shared" si="105"/>
        <v>0</v>
      </c>
      <c r="AI127" s="712"/>
      <c r="AJ127" s="708"/>
      <c r="AK127" s="733">
        <f t="shared" si="106"/>
        <v>0</v>
      </c>
      <c r="AL127" s="713"/>
    </row>
    <row r="128" spans="2:38" s="527" customFormat="1" outlineLevel="1">
      <c r="B128" s="699">
        <f>'Master BOQ Pricing_2018-01-08'!B128</f>
        <v>8.0399999999999991</v>
      </c>
      <c r="C128" s="700" t="str">
        <f>'Master BOQ Pricing_2018-01-08'!C128</f>
        <v>Supply and install 25mm PVC duct against building/Trunking</v>
      </c>
      <c r="D128" s="727" t="str">
        <f>'Master BOQ Pricing_2018-01-08'!D128</f>
        <v>m</v>
      </c>
      <c r="E128" s="702">
        <f>'Master BOQ Pricing_2018-01-08'!E128</f>
        <v>16.39</v>
      </c>
      <c r="F128" s="703">
        <v>49</v>
      </c>
      <c r="G128" s="704">
        <f t="shared" si="128"/>
        <v>803.11</v>
      </c>
      <c r="H128" s="728"/>
      <c r="I128" s="729"/>
      <c r="J128" s="728"/>
      <c r="K128" s="729"/>
      <c r="L128" s="728"/>
      <c r="M128" s="729"/>
      <c r="N128" s="728"/>
      <c r="O128" s="729"/>
      <c r="P128" s="728"/>
      <c r="Q128" s="730"/>
      <c r="R128" s="731"/>
      <c r="S128" s="729"/>
      <c r="T128" s="711"/>
      <c r="U128" s="732">
        <f t="shared" si="129"/>
        <v>49</v>
      </c>
      <c r="V128" s="733">
        <f t="shared" si="130"/>
        <v>803.11</v>
      </c>
      <c r="W128" s="710"/>
      <c r="X128" s="711"/>
      <c r="Y128" s="732">
        <f t="shared" si="100"/>
        <v>49</v>
      </c>
      <c r="Z128" s="733">
        <f t="shared" si="101"/>
        <v>803.11</v>
      </c>
      <c r="AA128" s="710"/>
      <c r="AB128" s="711"/>
      <c r="AC128" s="732">
        <f t="shared" si="102"/>
        <v>49</v>
      </c>
      <c r="AD128" s="733">
        <f t="shared" si="103"/>
        <v>803.11</v>
      </c>
      <c r="AE128" s="712"/>
      <c r="AF128" s="711"/>
      <c r="AG128" s="732">
        <f t="shared" si="104"/>
        <v>49</v>
      </c>
      <c r="AH128" s="733">
        <f t="shared" si="105"/>
        <v>803.11</v>
      </c>
      <c r="AI128" s="712"/>
      <c r="AJ128" s="708"/>
      <c r="AK128" s="733">
        <f t="shared" si="106"/>
        <v>0</v>
      </c>
      <c r="AL128" s="713"/>
    </row>
    <row r="129" spans="2:38" s="527" customFormat="1" outlineLevel="1">
      <c r="B129" s="699">
        <f>'Master BOQ Pricing_2018-01-08'!B129</f>
        <v>8.0500000000000007</v>
      </c>
      <c r="C129" s="700" t="str">
        <f>'Master BOQ Pricing_2018-01-08'!C129</f>
        <v>Supply and install 25mm Galvanised Bosal Pipe duct against building</v>
      </c>
      <c r="D129" s="727" t="str">
        <f>'Master BOQ Pricing_2018-01-08'!D129</f>
        <v>m</v>
      </c>
      <c r="E129" s="702">
        <f>'Master BOQ Pricing_2018-01-08'!E129</f>
        <v>27.79</v>
      </c>
      <c r="F129" s="703"/>
      <c r="G129" s="704">
        <f t="shared" si="128"/>
        <v>0</v>
      </c>
      <c r="H129" s="728"/>
      <c r="I129" s="729"/>
      <c r="J129" s="728"/>
      <c r="K129" s="729"/>
      <c r="L129" s="728"/>
      <c r="M129" s="729"/>
      <c r="N129" s="728"/>
      <c r="O129" s="729"/>
      <c r="P129" s="728"/>
      <c r="Q129" s="730"/>
      <c r="R129" s="731"/>
      <c r="S129" s="729"/>
      <c r="T129" s="711"/>
      <c r="U129" s="732">
        <f t="shared" si="129"/>
        <v>0</v>
      </c>
      <c r="V129" s="733">
        <f t="shared" si="130"/>
        <v>0</v>
      </c>
      <c r="W129" s="710"/>
      <c r="X129" s="711"/>
      <c r="Y129" s="732">
        <f t="shared" si="100"/>
        <v>0</v>
      </c>
      <c r="Z129" s="733">
        <f t="shared" si="101"/>
        <v>0</v>
      </c>
      <c r="AA129" s="710"/>
      <c r="AB129" s="711"/>
      <c r="AC129" s="732">
        <f t="shared" si="102"/>
        <v>0</v>
      </c>
      <c r="AD129" s="733">
        <f t="shared" si="103"/>
        <v>0</v>
      </c>
      <c r="AE129" s="712"/>
      <c r="AF129" s="711"/>
      <c r="AG129" s="732">
        <f t="shared" si="104"/>
        <v>0</v>
      </c>
      <c r="AH129" s="733">
        <f t="shared" si="105"/>
        <v>0</v>
      </c>
      <c r="AI129" s="712"/>
      <c r="AJ129" s="708"/>
      <c r="AK129" s="733">
        <f t="shared" si="106"/>
        <v>0</v>
      </c>
      <c r="AL129" s="713"/>
    </row>
    <row r="130" spans="2:38" s="527" customFormat="1" outlineLevel="1">
      <c r="B130" s="699">
        <f>'Master BOQ Pricing_2018-01-08'!B130</f>
        <v>8.06</v>
      </c>
      <c r="C130" s="700" t="str">
        <f>'Master BOQ Pricing_2018-01-08'!C130</f>
        <v>Supply and install 50mm galvanised bosal against building (2 storey high)</v>
      </c>
      <c r="D130" s="727" t="str">
        <f>'Master BOQ Pricing_2018-01-08'!D130</f>
        <v>m</v>
      </c>
      <c r="E130" s="702">
        <f>'Master BOQ Pricing_2018-01-08'!E130</f>
        <v>82.3</v>
      </c>
      <c r="F130" s="703"/>
      <c r="G130" s="704">
        <f t="shared" si="128"/>
        <v>0</v>
      </c>
      <c r="H130" s="728"/>
      <c r="I130" s="729"/>
      <c r="J130" s="728"/>
      <c r="K130" s="729"/>
      <c r="L130" s="728"/>
      <c r="M130" s="729"/>
      <c r="N130" s="728"/>
      <c r="O130" s="729"/>
      <c r="P130" s="728"/>
      <c r="Q130" s="730"/>
      <c r="R130" s="731"/>
      <c r="S130" s="729"/>
      <c r="T130" s="711"/>
      <c r="U130" s="732">
        <f t="shared" si="129"/>
        <v>0</v>
      </c>
      <c r="V130" s="733">
        <f t="shared" si="130"/>
        <v>0</v>
      </c>
      <c r="W130" s="710"/>
      <c r="X130" s="711"/>
      <c r="Y130" s="732">
        <f t="shared" si="100"/>
        <v>0</v>
      </c>
      <c r="Z130" s="733">
        <f t="shared" si="101"/>
        <v>0</v>
      </c>
      <c r="AA130" s="710"/>
      <c r="AB130" s="711"/>
      <c r="AC130" s="732">
        <f t="shared" si="102"/>
        <v>0</v>
      </c>
      <c r="AD130" s="733">
        <f t="shared" si="103"/>
        <v>0</v>
      </c>
      <c r="AE130" s="712"/>
      <c r="AF130" s="711"/>
      <c r="AG130" s="732">
        <f t="shared" si="104"/>
        <v>0</v>
      </c>
      <c r="AH130" s="733">
        <f t="shared" si="105"/>
        <v>0</v>
      </c>
      <c r="AI130" s="712"/>
      <c r="AJ130" s="708"/>
      <c r="AK130" s="733">
        <f t="shared" si="106"/>
        <v>0</v>
      </c>
      <c r="AL130" s="713"/>
    </row>
    <row r="131" spans="2:38" s="527" customFormat="1" outlineLevel="1">
      <c r="B131" s="699">
        <f>'Master BOQ Pricing_2018-01-08'!B131</f>
        <v>8.07</v>
      </c>
      <c r="C131" s="700" t="str">
        <f>'Master BOQ Pricing_2018-01-08'!C131</f>
        <v xml:space="preserve">Supply and Install 50mm galvanised bosal against building (exceeding 2 storey high) </v>
      </c>
      <c r="D131" s="727" t="str">
        <f>'Master BOQ Pricing_2018-01-08'!D131</f>
        <v>m</v>
      </c>
      <c r="E131" s="702">
        <f>'Master BOQ Pricing_2018-01-08'!E131</f>
        <v>102.47</v>
      </c>
      <c r="F131" s="703"/>
      <c r="G131" s="704">
        <f t="shared" si="128"/>
        <v>0</v>
      </c>
      <c r="H131" s="728"/>
      <c r="I131" s="729"/>
      <c r="J131" s="728"/>
      <c r="K131" s="729"/>
      <c r="L131" s="728"/>
      <c r="M131" s="729"/>
      <c r="N131" s="728"/>
      <c r="O131" s="729"/>
      <c r="P131" s="728"/>
      <c r="Q131" s="730"/>
      <c r="R131" s="731"/>
      <c r="S131" s="729"/>
      <c r="T131" s="711"/>
      <c r="U131" s="732">
        <f t="shared" si="129"/>
        <v>0</v>
      </c>
      <c r="V131" s="733">
        <f t="shared" si="130"/>
        <v>0</v>
      </c>
      <c r="W131" s="710"/>
      <c r="X131" s="711"/>
      <c r="Y131" s="732">
        <f t="shared" si="100"/>
        <v>0</v>
      </c>
      <c r="Z131" s="733">
        <f t="shared" si="101"/>
        <v>0</v>
      </c>
      <c r="AA131" s="710"/>
      <c r="AB131" s="711"/>
      <c r="AC131" s="732">
        <f t="shared" si="102"/>
        <v>0</v>
      </c>
      <c r="AD131" s="733">
        <f t="shared" si="103"/>
        <v>0</v>
      </c>
      <c r="AE131" s="712"/>
      <c r="AF131" s="711"/>
      <c r="AG131" s="732">
        <f t="shared" si="104"/>
        <v>0</v>
      </c>
      <c r="AH131" s="733">
        <f t="shared" si="105"/>
        <v>0</v>
      </c>
      <c r="AI131" s="712"/>
      <c r="AJ131" s="708"/>
      <c r="AK131" s="733">
        <f t="shared" si="106"/>
        <v>0</v>
      </c>
      <c r="AL131" s="713"/>
    </row>
    <row r="132" spans="2:38" s="527" customFormat="1" outlineLevel="1">
      <c r="B132" s="699">
        <f>'Master BOQ Pricing_2018-01-08'!B132</f>
        <v>8.08</v>
      </c>
      <c r="C132" s="700" t="str">
        <f>'Master BOQ Pricing_2018-01-08'!C132</f>
        <v>Supply and Install 90° Bosal Bend</v>
      </c>
      <c r="D132" s="727" t="str">
        <f>'Master BOQ Pricing_2018-01-08'!D132</f>
        <v>ea</v>
      </c>
      <c r="E132" s="702">
        <f>'Master BOQ Pricing_2018-01-08'!E132</f>
        <v>130</v>
      </c>
      <c r="F132" s="703"/>
      <c r="G132" s="704">
        <f t="shared" si="128"/>
        <v>0</v>
      </c>
      <c r="H132" s="728"/>
      <c r="I132" s="729"/>
      <c r="J132" s="728"/>
      <c r="K132" s="729"/>
      <c r="L132" s="728"/>
      <c r="M132" s="729"/>
      <c r="N132" s="728"/>
      <c r="O132" s="729"/>
      <c r="P132" s="728"/>
      <c r="Q132" s="730"/>
      <c r="R132" s="731"/>
      <c r="S132" s="729"/>
      <c r="T132" s="711"/>
      <c r="U132" s="732">
        <f t="shared" si="129"/>
        <v>0</v>
      </c>
      <c r="V132" s="733">
        <f t="shared" si="130"/>
        <v>0</v>
      </c>
      <c r="W132" s="710"/>
      <c r="X132" s="711"/>
      <c r="Y132" s="732">
        <f t="shared" si="100"/>
        <v>0</v>
      </c>
      <c r="Z132" s="733">
        <f t="shared" si="101"/>
        <v>0</v>
      </c>
      <c r="AA132" s="710"/>
      <c r="AB132" s="711"/>
      <c r="AC132" s="732">
        <f t="shared" si="102"/>
        <v>0</v>
      </c>
      <c r="AD132" s="733">
        <f t="shared" si="103"/>
        <v>0</v>
      </c>
      <c r="AE132" s="712"/>
      <c r="AF132" s="711"/>
      <c r="AG132" s="732">
        <f t="shared" si="104"/>
        <v>0</v>
      </c>
      <c r="AH132" s="733">
        <f t="shared" si="105"/>
        <v>0</v>
      </c>
      <c r="AI132" s="712"/>
      <c r="AJ132" s="708"/>
      <c r="AK132" s="733">
        <f t="shared" si="106"/>
        <v>0</v>
      </c>
      <c r="AL132" s="713"/>
    </row>
    <row r="133" spans="2:38" s="527" customFormat="1" outlineLevel="1">
      <c r="B133" s="699">
        <f>'Master BOQ Pricing_2018-01-08'!B133</f>
        <v>8.09</v>
      </c>
      <c r="C133" s="700" t="str">
        <f>'Master BOQ Pricing_2018-01-08'!C133</f>
        <v>Supply and Install Coupling 50mm Bosal</v>
      </c>
      <c r="D133" s="727" t="str">
        <f>'Master BOQ Pricing_2018-01-08'!D133</f>
        <v>ea</v>
      </c>
      <c r="E133" s="702">
        <f>'Master BOQ Pricing_2018-01-08'!E133</f>
        <v>50</v>
      </c>
      <c r="F133" s="703"/>
      <c r="G133" s="704">
        <f t="shared" si="128"/>
        <v>0</v>
      </c>
      <c r="H133" s="728"/>
      <c r="I133" s="729"/>
      <c r="J133" s="728"/>
      <c r="K133" s="729"/>
      <c r="L133" s="728"/>
      <c r="M133" s="729"/>
      <c r="N133" s="728"/>
      <c r="O133" s="729"/>
      <c r="P133" s="728"/>
      <c r="Q133" s="730"/>
      <c r="R133" s="731"/>
      <c r="S133" s="729"/>
      <c r="T133" s="711"/>
      <c r="U133" s="732">
        <f t="shared" si="129"/>
        <v>0</v>
      </c>
      <c r="V133" s="733">
        <f t="shared" si="130"/>
        <v>0</v>
      </c>
      <c r="W133" s="710"/>
      <c r="X133" s="711"/>
      <c r="Y133" s="732">
        <f t="shared" si="100"/>
        <v>0</v>
      </c>
      <c r="Z133" s="733">
        <f t="shared" si="101"/>
        <v>0</v>
      </c>
      <c r="AA133" s="710"/>
      <c r="AB133" s="711"/>
      <c r="AC133" s="732">
        <f t="shared" si="102"/>
        <v>0</v>
      </c>
      <c r="AD133" s="733">
        <f t="shared" si="103"/>
        <v>0</v>
      </c>
      <c r="AE133" s="712"/>
      <c r="AF133" s="711"/>
      <c r="AG133" s="732">
        <f t="shared" si="104"/>
        <v>0</v>
      </c>
      <c r="AH133" s="733">
        <f t="shared" si="105"/>
        <v>0</v>
      </c>
      <c r="AI133" s="712"/>
      <c r="AJ133" s="708"/>
      <c r="AK133" s="733">
        <f t="shared" si="106"/>
        <v>0</v>
      </c>
      <c r="AL133" s="713"/>
    </row>
    <row r="134" spans="2:38" s="527" customFormat="1" outlineLevel="1">
      <c r="B134" s="699">
        <f>'Master BOQ Pricing_2018-01-08'!B134</f>
        <v>8.1</v>
      </c>
      <c r="C134" s="700" t="str">
        <f>'Master BOQ Pricing_2018-01-08'!C134</f>
        <v>Supply and install 50mm pvc pipe (2 storey high)</v>
      </c>
      <c r="D134" s="727" t="str">
        <f>'Master BOQ Pricing_2018-01-08'!D134</f>
        <v>m</v>
      </c>
      <c r="E134" s="702">
        <f>'Master BOQ Pricing_2018-01-08'!E134</f>
        <v>40</v>
      </c>
      <c r="F134" s="703"/>
      <c r="G134" s="704">
        <f t="shared" si="128"/>
        <v>0</v>
      </c>
      <c r="H134" s="728"/>
      <c r="I134" s="729"/>
      <c r="J134" s="728"/>
      <c r="K134" s="729"/>
      <c r="L134" s="728"/>
      <c r="M134" s="729"/>
      <c r="N134" s="728"/>
      <c r="O134" s="729"/>
      <c r="P134" s="728"/>
      <c r="Q134" s="730"/>
      <c r="R134" s="731"/>
      <c r="S134" s="729"/>
      <c r="T134" s="711"/>
      <c r="U134" s="732">
        <f t="shared" si="129"/>
        <v>0</v>
      </c>
      <c r="V134" s="733">
        <f t="shared" si="130"/>
        <v>0</v>
      </c>
      <c r="W134" s="710"/>
      <c r="X134" s="711"/>
      <c r="Y134" s="732">
        <f t="shared" si="100"/>
        <v>0</v>
      </c>
      <c r="Z134" s="733">
        <f t="shared" si="101"/>
        <v>0</v>
      </c>
      <c r="AA134" s="710"/>
      <c r="AB134" s="711"/>
      <c r="AC134" s="732">
        <f t="shared" si="102"/>
        <v>0</v>
      </c>
      <c r="AD134" s="733">
        <f t="shared" si="103"/>
        <v>0</v>
      </c>
      <c r="AE134" s="712"/>
      <c r="AF134" s="711"/>
      <c r="AG134" s="732">
        <f t="shared" si="104"/>
        <v>0</v>
      </c>
      <c r="AH134" s="733">
        <f t="shared" si="105"/>
        <v>0</v>
      </c>
      <c r="AI134" s="712"/>
      <c r="AJ134" s="708"/>
      <c r="AK134" s="733">
        <f t="shared" si="106"/>
        <v>0</v>
      </c>
      <c r="AL134" s="713"/>
    </row>
    <row r="135" spans="2:38" s="527" customFormat="1" outlineLevel="1">
      <c r="B135" s="699">
        <f>'Master BOQ Pricing_2018-01-08'!B135</f>
        <v>8.11</v>
      </c>
      <c r="C135" s="700" t="str">
        <f>'Master BOQ Pricing_2018-01-08'!C135</f>
        <v>Supply and install 50mm pvc pipe (exceeding 2 storey high)</v>
      </c>
      <c r="D135" s="727" t="str">
        <f>'Master BOQ Pricing_2018-01-08'!D135</f>
        <v>m</v>
      </c>
      <c r="E135" s="702">
        <f>'Master BOQ Pricing_2018-01-08'!E135</f>
        <v>60</v>
      </c>
      <c r="F135" s="703"/>
      <c r="G135" s="704">
        <f t="shared" si="128"/>
        <v>0</v>
      </c>
      <c r="H135" s="728"/>
      <c r="I135" s="729"/>
      <c r="J135" s="728"/>
      <c r="K135" s="729"/>
      <c r="L135" s="728"/>
      <c r="M135" s="729"/>
      <c r="N135" s="728"/>
      <c r="O135" s="729"/>
      <c r="P135" s="728"/>
      <c r="Q135" s="730"/>
      <c r="R135" s="731"/>
      <c r="S135" s="729"/>
      <c r="T135" s="711"/>
      <c r="U135" s="732">
        <f t="shared" si="129"/>
        <v>0</v>
      </c>
      <c r="V135" s="733">
        <f t="shared" si="130"/>
        <v>0</v>
      </c>
      <c r="W135" s="710"/>
      <c r="X135" s="711"/>
      <c r="Y135" s="732">
        <f t="shared" si="100"/>
        <v>0</v>
      </c>
      <c r="Z135" s="733">
        <f t="shared" si="101"/>
        <v>0</v>
      </c>
      <c r="AA135" s="710"/>
      <c r="AB135" s="711"/>
      <c r="AC135" s="732">
        <f t="shared" si="102"/>
        <v>0</v>
      </c>
      <c r="AD135" s="733">
        <f t="shared" si="103"/>
        <v>0</v>
      </c>
      <c r="AE135" s="712"/>
      <c r="AF135" s="711"/>
      <c r="AG135" s="732">
        <f t="shared" si="104"/>
        <v>0</v>
      </c>
      <c r="AH135" s="733">
        <f t="shared" si="105"/>
        <v>0</v>
      </c>
      <c r="AI135" s="712"/>
      <c r="AJ135" s="708"/>
      <c r="AK135" s="733">
        <f t="shared" si="106"/>
        <v>0</v>
      </c>
      <c r="AL135" s="713"/>
    </row>
    <row r="136" spans="2:38" s="527" customFormat="1" outlineLevel="1">
      <c r="B136" s="699">
        <f>'Master BOQ Pricing_2018-01-08'!B136</f>
        <v>8.1199999999999992</v>
      </c>
      <c r="C136" s="700" t="str">
        <f>'Master BOQ Pricing_2018-01-08'!C136</f>
        <v xml:space="preserve">Supply and install 75mm x 50mm galvanised trunking against building (2 storey high) </v>
      </c>
      <c r="D136" s="727" t="str">
        <f>'Master BOQ Pricing_2018-01-08'!D136</f>
        <v>m</v>
      </c>
      <c r="E136" s="702">
        <f>'Master BOQ Pricing_2018-01-08'!E136</f>
        <v>61.17</v>
      </c>
      <c r="F136" s="703"/>
      <c r="G136" s="704">
        <f t="shared" si="128"/>
        <v>0</v>
      </c>
      <c r="H136" s="728"/>
      <c r="I136" s="729"/>
      <c r="J136" s="728"/>
      <c r="K136" s="729"/>
      <c r="L136" s="728"/>
      <c r="M136" s="729"/>
      <c r="N136" s="728"/>
      <c r="O136" s="729"/>
      <c r="P136" s="728"/>
      <c r="Q136" s="730"/>
      <c r="R136" s="731"/>
      <c r="S136" s="729"/>
      <c r="T136" s="711"/>
      <c r="U136" s="732">
        <f t="shared" si="129"/>
        <v>0</v>
      </c>
      <c r="V136" s="733">
        <f t="shared" si="130"/>
        <v>0</v>
      </c>
      <c r="W136" s="710"/>
      <c r="X136" s="711"/>
      <c r="Y136" s="732">
        <f t="shared" si="100"/>
        <v>0</v>
      </c>
      <c r="Z136" s="733">
        <f t="shared" si="101"/>
        <v>0</v>
      </c>
      <c r="AA136" s="710"/>
      <c r="AB136" s="711"/>
      <c r="AC136" s="732">
        <f t="shared" si="102"/>
        <v>0</v>
      </c>
      <c r="AD136" s="733">
        <f t="shared" si="103"/>
        <v>0</v>
      </c>
      <c r="AE136" s="712"/>
      <c r="AF136" s="711"/>
      <c r="AG136" s="732">
        <f t="shared" si="104"/>
        <v>0</v>
      </c>
      <c r="AH136" s="733">
        <f t="shared" si="105"/>
        <v>0</v>
      </c>
      <c r="AI136" s="712"/>
      <c r="AJ136" s="708"/>
      <c r="AK136" s="733">
        <f t="shared" si="106"/>
        <v>0</v>
      </c>
      <c r="AL136" s="713"/>
    </row>
    <row r="137" spans="2:38" s="527" customFormat="1" outlineLevel="1">
      <c r="B137" s="699">
        <f>'Master BOQ Pricing_2018-01-08'!B137</f>
        <v>8.1300000000000008</v>
      </c>
      <c r="C137" s="700" t="str">
        <f>'Master BOQ Pricing_2018-01-08'!C137</f>
        <v xml:space="preserve">Supply and install 75mm x 50mm galvanised trunking against building (exceeding 2 storey high) </v>
      </c>
      <c r="D137" s="727" t="str">
        <f>'Master BOQ Pricing_2018-01-08'!D137</f>
        <v>m</v>
      </c>
      <c r="E137" s="702">
        <f>'Master BOQ Pricing_2018-01-08'!E137</f>
        <v>86.17</v>
      </c>
      <c r="F137" s="703"/>
      <c r="G137" s="704">
        <f t="shared" si="128"/>
        <v>0</v>
      </c>
      <c r="H137" s="728"/>
      <c r="I137" s="729"/>
      <c r="J137" s="728"/>
      <c r="K137" s="729"/>
      <c r="L137" s="728"/>
      <c r="M137" s="729"/>
      <c r="N137" s="728"/>
      <c r="O137" s="729"/>
      <c r="P137" s="728"/>
      <c r="Q137" s="730"/>
      <c r="R137" s="731"/>
      <c r="S137" s="729"/>
      <c r="T137" s="711"/>
      <c r="U137" s="732">
        <f t="shared" si="129"/>
        <v>0</v>
      </c>
      <c r="V137" s="733">
        <f t="shared" si="130"/>
        <v>0</v>
      </c>
      <c r="W137" s="710"/>
      <c r="X137" s="711"/>
      <c r="Y137" s="732">
        <f t="shared" si="100"/>
        <v>0</v>
      </c>
      <c r="Z137" s="733">
        <f t="shared" si="101"/>
        <v>0</v>
      </c>
      <c r="AA137" s="710"/>
      <c r="AB137" s="711"/>
      <c r="AC137" s="732">
        <f t="shared" si="102"/>
        <v>0</v>
      </c>
      <c r="AD137" s="733">
        <f t="shared" si="103"/>
        <v>0</v>
      </c>
      <c r="AE137" s="712"/>
      <c r="AF137" s="711"/>
      <c r="AG137" s="732">
        <f t="shared" si="104"/>
        <v>0</v>
      </c>
      <c r="AH137" s="733">
        <f t="shared" si="105"/>
        <v>0</v>
      </c>
      <c r="AI137" s="712"/>
      <c r="AJ137" s="708"/>
      <c r="AK137" s="733">
        <f t="shared" si="106"/>
        <v>0</v>
      </c>
      <c r="AL137" s="713"/>
    </row>
    <row r="138" spans="2:38" s="527" customFormat="1" outlineLevel="1">
      <c r="B138" s="699">
        <f>'Master BOQ Pricing_2018-01-08'!B138</f>
        <v>8.14</v>
      </c>
      <c r="C138" s="700" t="str">
        <f>'Master BOQ Pricing_2018-01-08'!C138</f>
        <v>Supply paint and Preparation and painting of PVC duct/square trunking/bosal</v>
      </c>
      <c r="D138" s="727" t="str">
        <f>'Master BOQ Pricing_2018-01-08'!D138</f>
        <v>m</v>
      </c>
      <c r="E138" s="702">
        <f>'Master BOQ Pricing_2018-01-08'!E138</f>
        <v>14.5</v>
      </c>
      <c r="F138" s="703"/>
      <c r="G138" s="704">
        <f t="shared" si="128"/>
        <v>0</v>
      </c>
      <c r="H138" s="728"/>
      <c r="I138" s="729"/>
      <c r="J138" s="728"/>
      <c r="K138" s="729"/>
      <c r="L138" s="728"/>
      <c r="M138" s="729"/>
      <c r="N138" s="728"/>
      <c r="O138" s="729"/>
      <c r="P138" s="728"/>
      <c r="Q138" s="730"/>
      <c r="R138" s="731"/>
      <c r="S138" s="729"/>
      <c r="T138" s="711"/>
      <c r="U138" s="732">
        <f t="shared" si="129"/>
        <v>0</v>
      </c>
      <c r="V138" s="733">
        <f t="shared" si="130"/>
        <v>0</v>
      </c>
      <c r="W138" s="710"/>
      <c r="X138" s="711"/>
      <c r="Y138" s="732">
        <f t="shared" si="100"/>
        <v>0</v>
      </c>
      <c r="Z138" s="733">
        <f t="shared" si="101"/>
        <v>0</v>
      </c>
      <c r="AA138" s="710"/>
      <c r="AB138" s="711"/>
      <c r="AC138" s="732">
        <f t="shared" si="102"/>
        <v>0</v>
      </c>
      <c r="AD138" s="733">
        <f t="shared" si="103"/>
        <v>0</v>
      </c>
      <c r="AE138" s="712"/>
      <c r="AF138" s="711"/>
      <c r="AG138" s="732">
        <f t="shared" si="104"/>
        <v>0</v>
      </c>
      <c r="AH138" s="733">
        <f t="shared" si="105"/>
        <v>0</v>
      </c>
      <c r="AI138" s="712"/>
      <c r="AJ138" s="708"/>
      <c r="AK138" s="733">
        <f t="shared" si="106"/>
        <v>0</v>
      </c>
      <c r="AL138" s="713"/>
    </row>
    <row r="139" spans="2:38" s="527" customFormat="1" outlineLevel="1">
      <c r="B139" s="699">
        <f>'Master BOQ Pricing_2018-01-08'!B139</f>
        <v>8.15</v>
      </c>
      <c r="C139" s="700" t="str">
        <f>'Master BOQ Pricing_2018-01-08'!C139</f>
        <v>Supply and install cable trays (RF HD 225mm)</v>
      </c>
      <c r="D139" s="727" t="str">
        <f>'Master BOQ Pricing_2018-01-08'!D139</f>
        <v>m</v>
      </c>
      <c r="E139" s="702">
        <f>'Master BOQ Pricing_2018-01-08'!E139</f>
        <v>200</v>
      </c>
      <c r="F139" s="703"/>
      <c r="G139" s="704">
        <f t="shared" si="128"/>
        <v>0</v>
      </c>
      <c r="H139" s="728"/>
      <c r="I139" s="729"/>
      <c r="J139" s="728"/>
      <c r="K139" s="729"/>
      <c r="L139" s="728"/>
      <c r="M139" s="729"/>
      <c r="N139" s="728"/>
      <c r="O139" s="729"/>
      <c r="P139" s="728"/>
      <c r="Q139" s="730"/>
      <c r="R139" s="731"/>
      <c r="S139" s="729"/>
      <c r="T139" s="711"/>
      <c r="U139" s="732">
        <f t="shared" si="129"/>
        <v>0</v>
      </c>
      <c r="V139" s="733">
        <f t="shared" si="130"/>
        <v>0</v>
      </c>
      <c r="W139" s="710"/>
      <c r="X139" s="711"/>
      <c r="Y139" s="732">
        <f t="shared" si="100"/>
        <v>0</v>
      </c>
      <c r="Z139" s="733">
        <f t="shared" si="101"/>
        <v>0</v>
      </c>
      <c r="AA139" s="710"/>
      <c r="AB139" s="711"/>
      <c r="AC139" s="732">
        <f t="shared" si="102"/>
        <v>0</v>
      </c>
      <c r="AD139" s="733">
        <f t="shared" si="103"/>
        <v>0</v>
      </c>
      <c r="AE139" s="712"/>
      <c r="AF139" s="711"/>
      <c r="AG139" s="732">
        <f t="shared" si="104"/>
        <v>0</v>
      </c>
      <c r="AH139" s="733">
        <f t="shared" si="105"/>
        <v>0</v>
      </c>
      <c r="AI139" s="712"/>
      <c r="AJ139" s="708"/>
      <c r="AK139" s="733">
        <f t="shared" si="106"/>
        <v>0</v>
      </c>
      <c r="AL139" s="713"/>
    </row>
    <row r="140" spans="2:38" s="527" customFormat="1" outlineLevel="1">
      <c r="B140" s="699">
        <f>'Master BOQ Pricing_2018-01-08'!B140</f>
        <v>8.16</v>
      </c>
      <c r="C140" s="700" t="str">
        <f>'Master BOQ Pricing_2018-01-08'!C140</f>
        <v>Supply and install cable trays (Wire Basket 100mm Wide  75mm Depth) including bends and splices</v>
      </c>
      <c r="D140" s="727" t="str">
        <f>'Master BOQ Pricing_2018-01-08'!D140</f>
        <v>m</v>
      </c>
      <c r="E140" s="702">
        <f>'Master BOQ Pricing_2018-01-08'!E140</f>
        <v>165</v>
      </c>
      <c r="F140" s="703"/>
      <c r="G140" s="704">
        <f t="shared" si="128"/>
        <v>0</v>
      </c>
      <c r="H140" s="728"/>
      <c r="I140" s="729"/>
      <c r="J140" s="728"/>
      <c r="K140" s="729"/>
      <c r="L140" s="728"/>
      <c r="M140" s="729"/>
      <c r="N140" s="728"/>
      <c r="O140" s="729"/>
      <c r="P140" s="728"/>
      <c r="Q140" s="730"/>
      <c r="R140" s="731"/>
      <c r="S140" s="729"/>
      <c r="T140" s="711"/>
      <c r="U140" s="732">
        <f t="shared" si="129"/>
        <v>0</v>
      </c>
      <c r="V140" s="733">
        <f t="shared" si="130"/>
        <v>0</v>
      </c>
      <c r="W140" s="710"/>
      <c r="X140" s="711"/>
      <c r="Y140" s="732">
        <f t="shared" si="100"/>
        <v>0</v>
      </c>
      <c r="Z140" s="733">
        <f t="shared" si="101"/>
        <v>0</v>
      </c>
      <c r="AA140" s="710"/>
      <c r="AB140" s="711"/>
      <c r="AC140" s="732">
        <f t="shared" si="102"/>
        <v>0</v>
      </c>
      <c r="AD140" s="733">
        <f t="shared" si="103"/>
        <v>0</v>
      </c>
      <c r="AE140" s="712"/>
      <c r="AF140" s="711"/>
      <c r="AG140" s="732">
        <f t="shared" si="104"/>
        <v>0</v>
      </c>
      <c r="AH140" s="733">
        <f t="shared" si="105"/>
        <v>0</v>
      </c>
      <c r="AI140" s="712"/>
      <c r="AJ140" s="708"/>
      <c r="AK140" s="733">
        <f t="shared" si="106"/>
        <v>0</v>
      </c>
      <c r="AL140" s="713"/>
    </row>
    <row r="141" spans="2:38" s="527" customFormat="1" outlineLevel="1">
      <c r="B141" s="699">
        <f>'Master BOQ Pricing_2018-01-08'!B141</f>
        <v>8.17</v>
      </c>
      <c r="C141" s="700" t="str">
        <f>'Master BOQ Pricing_2018-01-08'!C141</f>
        <v>Supply and install welded wired mesh cable tray (WWHD 100mm) including joiner set</v>
      </c>
      <c r="D141" s="727" t="str">
        <f>'Master BOQ Pricing_2018-01-08'!D141</f>
        <v>m</v>
      </c>
      <c r="E141" s="702">
        <f>'Master BOQ Pricing_2018-01-08'!E141</f>
        <v>205</v>
      </c>
      <c r="F141" s="703"/>
      <c r="G141" s="704">
        <f t="shared" si="128"/>
        <v>0</v>
      </c>
      <c r="H141" s="728"/>
      <c r="I141" s="729"/>
      <c r="J141" s="728"/>
      <c r="K141" s="729"/>
      <c r="L141" s="728"/>
      <c r="M141" s="729"/>
      <c r="N141" s="728"/>
      <c r="O141" s="729"/>
      <c r="P141" s="728"/>
      <c r="Q141" s="730"/>
      <c r="R141" s="731"/>
      <c r="S141" s="729"/>
      <c r="T141" s="711"/>
      <c r="U141" s="732">
        <f t="shared" si="129"/>
        <v>0</v>
      </c>
      <c r="V141" s="733">
        <f t="shared" si="130"/>
        <v>0</v>
      </c>
      <c r="W141" s="710"/>
      <c r="X141" s="711"/>
      <c r="Y141" s="732">
        <f t="shared" si="100"/>
        <v>0</v>
      </c>
      <c r="Z141" s="733">
        <f t="shared" si="101"/>
        <v>0</v>
      </c>
      <c r="AA141" s="710"/>
      <c r="AB141" s="711"/>
      <c r="AC141" s="732">
        <f t="shared" si="102"/>
        <v>0</v>
      </c>
      <c r="AD141" s="733">
        <f t="shared" si="103"/>
        <v>0</v>
      </c>
      <c r="AE141" s="712"/>
      <c r="AF141" s="711"/>
      <c r="AG141" s="732">
        <f t="shared" si="104"/>
        <v>0</v>
      </c>
      <c r="AH141" s="733">
        <f t="shared" si="105"/>
        <v>0</v>
      </c>
      <c r="AI141" s="712"/>
      <c r="AJ141" s="708"/>
      <c r="AK141" s="733">
        <f t="shared" si="106"/>
        <v>0</v>
      </c>
      <c r="AL141" s="713"/>
    </row>
    <row r="142" spans="2:38" s="527" customFormat="1" outlineLevel="1">
      <c r="B142" s="699">
        <f>'Master BOQ Pricing_2018-01-08'!B142</f>
        <v>8.18</v>
      </c>
      <c r="C142" s="700" t="str">
        <f>'Master BOQ Pricing_2018-01-08'!C142</f>
        <v>Supply and install welded wired mesh cable tray (WWHD 200mm) including joiner set</v>
      </c>
      <c r="D142" s="727" t="str">
        <f>'Master BOQ Pricing_2018-01-08'!D142</f>
        <v>m</v>
      </c>
      <c r="E142" s="702">
        <f>'Master BOQ Pricing_2018-01-08'!E142</f>
        <v>225</v>
      </c>
      <c r="F142" s="703"/>
      <c r="G142" s="704">
        <f t="shared" si="128"/>
        <v>0</v>
      </c>
      <c r="H142" s="728"/>
      <c r="I142" s="729"/>
      <c r="J142" s="728"/>
      <c r="K142" s="729"/>
      <c r="L142" s="728"/>
      <c r="M142" s="729"/>
      <c r="N142" s="728"/>
      <c r="O142" s="729"/>
      <c r="P142" s="728"/>
      <c r="Q142" s="730"/>
      <c r="R142" s="731"/>
      <c r="S142" s="729"/>
      <c r="T142" s="711"/>
      <c r="U142" s="732">
        <f t="shared" si="129"/>
        <v>0</v>
      </c>
      <c r="V142" s="733">
        <f t="shared" si="130"/>
        <v>0</v>
      </c>
      <c r="W142" s="710"/>
      <c r="X142" s="711"/>
      <c r="Y142" s="732">
        <f t="shared" si="100"/>
        <v>0</v>
      </c>
      <c r="Z142" s="733">
        <f t="shared" si="101"/>
        <v>0</v>
      </c>
      <c r="AA142" s="710"/>
      <c r="AB142" s="711"/>
      <c r="AC142" s="732">
        <f t="shared" si="102"/>
        <v>0</v>
      </c>
      <c r="AD142" s="733">
        <f t="shared" si="103"/>
        <v>0</v>
      </c>
      <c r="AE142" s="712"/>
      <c r="AF142" s="711"/>
      <c r="AG142" s="732">
        <f t="shared" si="104"/>
        <v>0</v>
      </c>
      <c r="AH142" s="733">
        <f t="shared" si="105"/>
        <v>0</v>
      </c>
      <c r="AI142" s="712"/>
      <c r="AJ142" s="708"/>
      <c r="AK142" s="733">
        <f t="shared" si="106"/>
        <v>0</v>
      </c>
      <c r="AL142" s="713"/>
    </row>
    <row r="143" spans="2:38" s="527" customFormat="1" outlineLevel="1">
      <c r="B143" s="699">
        <f>'Master BOQ Pricing_2018-01-08'!B143</f>
        <v>8.19</v>
      </c>
      <c r="C143" s="700" t="str">
        <f>'Master BOQ Pricing_2018-01-08'!C143</f>
        <v>Install optic cable onto cable trays, risers or in ceilings</v>
      </c>
      <c r="D143" s="727" t="str">
        <f>'Master BOQ Pricing_2018-01-08'!D143</f>
        <v>m</v>
      </c>
      <c r="E143" s="702">
        <f>'Master BOQ Pricing_2018-01-08'!E143</f>
        <v>6.5</v>
      </c>
      <c r="F143" s="703">
        <v>80</v>
      </c>
      <c r="G143" s="704">
        <f t="shared" si="128"/>
        <v>520</v>
      </c>
      <c r="H143" s="728"/>
      <c r="I143" s="729"/>
      <c r="J143" s="728"/>
      <c r="K143" s="729"/>
      <c r="L143" s="728"/>
      <c r="M143" s="729"/>
      <c r="N143" s="728"/>
      <c r="O143" s="729"/>
      <c r="P143" s="728"/>
      <c r="Q143" s="730"/>
      <c r="R143" s="731"/>
      <c r="S143" s="729"/>
      <c r="T143" s="711"/>
      <c r="U143" s="732">
        <f t="shared" si="129"/>
        <v>80</v>
      </c>
      <c r="V143" s="733">
        <f t="shared" si="130"/>
        <v>520</v>
      </c>
      <c r="W143" s="710"/>
      <c r="X143" s="711"/>
      <c r="Y143" s="732">
        <f t="shared" si="100"/>
        <v>80</v>
      </c>
      <c r="Z143" s="733">
        <f t="shared" si="101"/>
        <v>520</v>
      </c>
      <c r="AA143" s="710"/>
      <c r="AB143" s="711"/>
      <c r="AC143" s="732">
        <f t="shared" si="102"/>
        <v>80</v>
      </c>
      <c r="AD143" s="733">
        <f t="shared" si="103"/>
        <v>520</v>
      </c>
      <c r="AE143" s="712"/>
      <c r="AF143" s="711"/>
      <c r="AG143" s="732">
        <f t="shared" si="104"/>
        <v>80</v>
      </c>
      <c r="AH143" s="733">
        <f t="shared" si="105"/>
        <v>520</v>
      </c>
      <c r="AI143" s="712"/>
      <c r="AJ143" s="708"/>
      <c r="AK143" s="733">
        <f t="shared" si="106"/>
        <v>0</v>
      </c>
      <c r="AL143" s="713"/>
    </row>
    <row r="144" spans="2:38" s="527" customFormat="1" outlineLevel="1">
      <c r="B144" s="699">
        <f>'Master BOQ Pricing_2018-01-08'!B144</f>
        <v>8.1999999999999993</v>
      </c>
      <c r="C144" s="700" t="str">
        <f>'Master BOQ Pricing_2018-01-08'!C144</f>
        <v>Install 40mm, 7 way, 4 way, 2 way or 1 way duct onto cable tray, riser, in ceiling or under false floor</v>
      </c>
      <c r="D144" s="727" t="str">
        <f>'Master BOQ Pricing_2018-01-08'!D144</f>
        <v>m</v>
      </c>
      <c r="E144" s="702">
        <f>'Master BOQ Pricing_2018-01-08'!E144</f>
        <v>6.5</v>
      </c>
      <c r="F144" s="703">
        <v>55</v>
      </c>
      <c r="G144" s="704">
        <f t="shared" si="128"/>
        <v>357.5</v>
      </c>
      <c r="H144" s="728"/>
      <c r="I144" s="729"/>
      <c r="J144" s="728"/>
      <c r="K144" s="729"/>
      <c r="L144" s="728"/>
      <c r="M144" s="729"/>
      <c r="N144" s="728"/>
      <c r="O144" s="729"/>
      <c r="P144" s="728"/>
      <c r="Q144" s="730"/>
      <c r="R144" s="731"/>
      <c r="S144" s="729"/>
      <c r="T144" s="711"/>
      <c r="U144" s="732">
        <f t="shared" si="129"/>
        <v>55</v>
      </c>
      <c r="V144" s="733">
        <f t="shared" si="130"/>
        <v>357.5</v>
      </c>
      <c r="W144" s="710"/>
      <c r="X144" s="711"/>
      <c r="Y144" s="732">
        <f t="shared" si="100"/>
        <v>55</v>
      </c>
      <c r="Z144" s="733">
        <f t="shared" si="101"/>
        <v>357.5</v>
      </c>
      <c r="AA144" s="710"/>
      <c r="AB144" s="711"/>
      <c r="AC144" s="732">
        <f t="shared" si="102"/>
        <v>55</v>
      </c>
      <c r="AD144" s="733">
        <f t="shared" si="103"/>
        <v>357.5</v>
      </c>
      <c r="AE144" s="712"/>
      <c r="AF144" s="711"/>
      <c r="AG144" s="732">
        <f t="shared" si="104"/>
        <v>55</v>
      </c>
      <c r="AH144" s="733">
        <f t="shared" si="105"/>
        <v>357.5</v>
      </c>
      <c r="AI144" s="712"/>
      <c r="AJ144" s="708"/>
      <c r="AK144" s="733">
        <f t="shared" si="106"/>
        <v>0</v>
      </c>
      <c r="AL144" s="713"/>
    </row>
    <row r="145" spans="2:38" s="527" customFormat="1" outlineLevel="1">
      <c r="B145" s="699">
        <f>'Master BOQ Pricing_2018-01-08'!B145</f>
        <v>8.2100000000000009</v>
      </c>
      <c r="C145" s="700" t="str">
        <f>'Master BOQ Pricing_2018-01-08'!C145</f>
        <v>Install PVC duct / sprague / square trunking / bosal against wall, building etc including the drilling of walls</v>
      </c>
      <c r="D145" s="727" t="str">
        <f>'Master BOQ Pricing_2018-01-08'!D145</f>
        <v>m</v>
      </c>
      <c r="E145" s="702">
        <f>'Master BOQ Pricing_2018-01-08'!E145</f>
        <v>16.39</v>
      </c>
      <c r="F145" s="703">
        <v>3</v>
      </c>
      <c r="G145" s="704">
        <f t="shared" ref="G145:G158" si="131">+F145*E145</f>
        <v>49.17</v>
      </c>
      <c r="H145" s="728"/>
      <c r="I145" s="729"/>
      <c r="J145" s="728"/>
      <c r="K145" s="729"/>
      <c r="L145" s="728"/>
      <c r="M145" s="729"/>
      <c r="N145" s="728"/>
      <c r="O145" s="729"/>
      <c r="P145" s="728"/>
      <c r="Q145" s="730"/>
      <c r="R145" s="731"/>
      <c r="S145" s="729"/>
      <c r="T145" s="711"/>
      <c r="U145" s="732">
        <f t="shared" ref="U145:U158" si="132">T145+F145</f>
        <v>3</v>
      </c>
      <c r="V145" s="733">
        <f t="shared" ref="V145:V158" si="133">U145*E145</f>
        <v>49.17</v>
      </c>
      <c r="W145" s="710"/>
      <c r="X145" s="711"/>
      <c r="Y145" s="732">
        <f t="shared" ref="Y145:Y158" si="134">X145+U145</f>
        <v>3</v>
      </c>
      <c r="Z145" s="733">
        <f t="shared" ref="Z145:Z158" si="135">Y145*E145</f>
        <v>49.17</v>
      </c>
      <c r="AA145" s="710"/>
      <c r="AB145" s="711"/>
      <c r="AC145" s="732">
        <f t="shared" ref="AC145:AC158" si="136">AB145+Y145</f>
        <v>3</v>
      </c>
      <c r="AD145" s="733">
        <f t="shared" ref="AD145:AD158" si="137">AC145*E145</f>
        <v>49.17</v>
      </c>
      <c r="AE145" s="712"/>
      <c r="AF145" s="711"/>
      <c r="AG145" s="732">
        <f t="shared" ref="AG145:AG158" si="138">AF145+AC145</f>
        <v>3</v>
      </c>
      <c r="AH145" s="733">
        <f t="shared" ref="AH145:AH158" si="139">AG145*E145</f>
        <v>49.17</v>
      </c>
      <c r="AI145" s="712"/>
      <c r="AJ145" s="708"/>
      <c r="AK145" s="733">
        <f t="shared" ref="AK145:AK158" si="140">AJ145*E145</f>
        <v>0</v>
      </c>
      <c r="AL145" s="713"/>
    </row>
    <row r="146" spans="2:38" s="527" customFormat="1" ht="27.6" customHeight="1" outlineLevel="1">
      <c r="B146" s="699">
        <f>'Master BOQ Pricing_2018-01-08'!B146</f>
        <v>8.2200000000000006</v>
      </c>
      <c r="C146" s="700" t="str">
        <f>'Master BOQ Pricing_2018-01-08'!C146</f>
        <v>Install PVC duct / against wall, building etc including drills  (single drill per anchor point every 1m) _ HV-MDU Application</v>
      </c>
      <c r="D146" s="727" t="str">
        <f>'Master BOQ Pricing_2018-01-08'!D146</f>
        <v>m</v>
      </c>
      <c r="E146" s="702">
        <f>'Master BOQ Pricing_2018-01-08'!E146</f>
        <v>12.09</v>
      </c>
      <c r="F146" s="703"/>
      <c r="G146" s="704">
        <f t="shared" si="131"/>
        <v>0</v>
      </c>
      <c r="H146" s="728"/>
      <c r="I146" s="729"/>
      <c r="J146" s="728"/>
      <c r="K146" s="729"/>
      <c r="L146" s="728"/>
      <c r="M146" s="729"/>
      <c r="N146" s="728"/>
      <c r="O146" s="729"/>
      <c r="P146" s="728"/>
      <c r="Q146" s="730"/>
      <c r="R146" s="731"/>
      <c r="S146" s="729"/>
      <c r="T146" s="711"/>
      <c r="U146" s="732">
        <f t="shared" si="132"/>
        <v>0</v>
      </c>
      <c r="V146" s="733">
        <f t="shared" si="133"/>
        <v>0</v>
      </c>
      <c r="W146" s="710"/>
      <c r="X146" s="711"/>
      <c r="Y146" s="732">
        <f t="shared" si="134"/>
        <v>0</v>
      </c>
      <c r="Z146" s="733">
        <f t="shared" si="135"/>
        <v>0</v>
      </c>
      <c r="AA146" s="710"/>
      <c r="AB146" s="711"/>
      <c r="AC146" s="732">
        <f t="shared" si="136"/>
        <v>0</v>
      </c>
      <c r="AD146" s="733">
        <f t="shared" si="137"/>
        <v>0</v>
      </c>
      <c r="AE146" s="712"/>
      <c r="AF146" s="711"/>
      <c r="AG146" s="732">
        <f t="shared" si="138"/>
        <v>0</v>
      </c>
      <c r="AH146" s="733">
        <f t="shared" si="139"/>
        <v>0</v>
      </c>
      <c r="AI146" s="712"/>
      <c r="AJ146" s="708"/>
      <c r="AK146" s="733">
        <f t="shared" si="140"/>
        <v>0</v>
      </c>
      <c r="AL146" s="713"/>
    </row>
    <row r="147" spans="2:38" s="527" customFormat="1" outlineLevel="1">
      <c r="B147" s="699">
        <f>'Master BOQ Pricing_2018-01-08'!B147</f>
        <v>8.23</v>
      </c>
      <c r="C147" s="700" t="str">
        <f>'Master BOQ Pricing_2018-01-08'!C147</f>
        <v xml:space="preserve">ISP - Cut and seal gland plate </v>
      </c>
      <c r="D147" s="727" t="str">
        <f>'Master BOQ Pricing_2018-01-08'!D147</f>
        <v>ea</v>
      </c>
      <c r="E147" s="702">
        <f>'Master BOQ Pricing_2018-01-08'!E147</f>
        <v>50.5</v>
      </c>
      <c r="F147" s="703"/>
      <c r="G147" s="704">
        <f t="shared" si="131"/>
        <v>0</v>
      </c>
      <c r="H147" s="728"/>
      <c r="I147" s="729"/>
      <c r="J147" s="728"/>
      <c r="K147" s="729"/>
      <c r="L147" s="728"/>
      <c r="M147" s="729"/>
      <c r="N147" s="728"/>
      <c r="O147" s="729"/>
      <c r="P147" s="728"/>
      <c r="Q147" s="730"/>
      <c r="R147" s="731"/>
      <c r="S147" s="729"/>
      <c r="T147" s="711"/>
      <c r="U147" s="732">
        <f t="shared" si="132"/>
        <v>0</v>
      </c>
      <c r="V147" s="733">
        <f t="shared" si="133"/>
        <v>0</v>
      </c>
      <c r="W147" s="710"/>
      <c r="X147" s="711"/>
      <c r="Y147" s="732">
        <f t="shared" si="134"/>
        <v>0</v>
      </c>
      <c r="Z147" s="733">
        <f t="shared" si="135"/>
        <v>0</v>
      </c>
      <c r="AA147" s="710"/>
      <c r="AB147" s="711"/>
      <c r="AC147" s="732">
        <f t="shared" si="136"/>
        <v>0</v>
      </c>
      <c r="AD147" s="733">
        <f t="shared" si="137"/>
        <v>0</v>
      </c>
      <c r="AE147" s="712"/>
      <c r="AF147" s="711"/>
      <c r="AG147" s="732">
        <f t="shared" si="138"/>
        <v>0</v>
      </c>
      <c r="AH147" s="733">
        <f t="shared" si="139"/>
        <v>0</v>
      </c>
      <c r="AI147" s="712"/>
      <c r="AJ147" s="708"/>
      <c r="AK147" s="733">
        <f t="shared" si="140"/>
        <v>0</v>
      </c>
      <c r="AL147" s="713"/>
    </row>
    <row r="148" spans="2:38" s="527" customFormat="1" outlineLevel="1">
      <c r="B148" s="699">
        <f>'Master BOQ Pricing_2018-01-08'!B148</f>
        <v>8.24</v>
      </c>
      <c r="C148" s="700" t="str">
        <f>'Master BOQ Pricing_2018-01-08'!C148</f>
        <v>Install - Slack Box/Junction Box/Home Pass Point MPEbox(J1)</v>
      </c>
      <c r="D148" s="727" t="str">
        <f>'Master BOQ Pricing_2018-01-08'!D148</f>
        <v>ea</v>
      </c>
      <c r="E148" s="702">
        <f>'Master BOQ Pricing_2018-01-08'!E148</f>
        <v>67.069999999999993</v>
      </c>
      <c r="F148" s="703"/>
      <c r="G148" s="704">
        <f t="shared" si="131"/>
        <v>0</v>
      </c>
      <c r="H148" s="728"/>
      <c r="I148" s="729"/>
      <c r="J148" s="728"/>
      <c r="K148" s="729"/>
      <c r="L148" s="728"/>
      <c r="M148" s="729"/>
      <c r="N148" s="728"/>
      <c r="O148" s="729"/>
      <c r="P148" s="728"/>
      <c r="Q148" s="730"/>
      <c r="R148" s="731"/>
      <c r="S148" s="729"/>
      <c r="T148" s="711"/>
      <c r="U148" s="732">
        <f t="shared" si="132"/>
        <v>0</v>
      </c>
      <c r="V148" s="733">
        <f t="shared" si="133"/>
        <v>0</v>
      </c>
      <c r="W148" s="710"/>
      <c r="X148" s="711"/>
      <c r="Y148" s="732">
        <f t="shared" si="134"/>
        <v>0</v>
      </c>
      <c r="Z148" s="733">
        <f t="shared" si="135"/>
        <v>0</v>
      </c>
      <c r="AA148" s="710"/>
      <c r="AB148" s="711"/>
      <c r="AC148" s="732">
        <f t="shared" si="136"/>
        <v>0</v>
      </c>
      <c r="AD148" s="733">
        <f t="shared" si="137"/>
        <v>0</v>
      </c>
      <c r="AE148" s="712"/>
      <c r="AF148" s="711"/>
      <c r="AG148" s="732">
        <f t="shared" si="138"/>
        <v>0</v>
      </c>
      <c r="AH148" s="733">
        <f t="shared" si="139"/>
        <v>0</v>
      </c>
      <c r="AI148" s="712"/>
      <c r="AJ148" s="708"/>
      <c r="AK148" s="733">
        <f t="shared" si="140"/>
        <v>0</v>
      </c>
      <c r="AL148" s="713"/>
    </row>
    <row r="149" spans="2:38" s="527" customFormat="1" outlineLevel="1">
      <c r="B149" s="699">
        <f>'Master BOQ Pricing_2018-01-08'!B149</f>
        <v>8.25</v>
      </c>
      <c r="C149" s="700" t="str">
        <f>'Master BOQ Pricing_2018-01-08'!C149</f>
        <v>ISP - Supply and install fibre glass draw/junction box</v>
      </c>
      <c r="D149" s="727" t="str">
        <f>'Master BOQ Pricing_2018-01-08'!D149</f>
        <v>ea</v>
      </c>
      <c r="E149" s="702">
        <f>'Master BOQ Pricing_2018-01-08'!E149</f>
        <v>350</v>
      </c>
      <c r="F149" s="703"/>
      <c r="G149" s="704">
        <f t="shared" si="131"/>
        <v>0</v>
      </c>
      <c r="H149" s="728"/>
      <c r="I149" s="729"/>
      <c r="J149" s="728"/>
      <c r="K149" s="729"/>
      <c r="L149" s="728"/>
      <c r="M149" s="729"/>
      <c r="N149" s="728"/>
      <c r="O149" s="729"/>
      <c r="P149" s="728"/>
      <c r="Q149" s="730"/>
      <c r="R149" s="731"/>
      <c r="S149" s="729"/>
      <c r="T149" s="711"/>
      <c r="U149" s="732">
        <f t="shared" si="132"/>
        <v>0</v>
      </c>
      <c r="V149" s="733">
        <f t="shared" si="133"/>
        <v>0</v>
      </c>
      <c r="W149" s="710"/>
      <c r="X149" s="711"/>
      <c r="Y149" s="732">
        <f t="shared" si="134"/>
        <v>0</v>
      </c>
      <c r="Z149" s="733">
        <f t="shared" si="135"/>
        <v>0</v>
      </c>
      <c r="AA149" s="710"/>
      <c r="AB149" s="711"/>
      <c r="AC149" s="732">
        <f t="shared" si="136"/>
        <v>0</v>
      </c>
      <c r="AD149" s="733">
        <f t="shared" si="137"/>
        <v>0</v>
      </c>
      <c r="AE149" s="712"/>
      <c r="AF149" s="711"/>
      <c r="AG149" s="732">
        <f t="shared" si="138"/>
        <v>0</v>
      </c>
      <c r="AH149" s="733">
        <f t="shared" si="139"/>
        <v>0</v>
      </c>
      <c r="AI149" s="712"/>
      <c r="AJ149" s="708"/>
      <c r="AK149" s="733">
        <f t="shared" si="140"/>
        <v>0</v>
      </c>
      <c r="AL149" s="713"/>
    </row>
    <row r="150" spans="2:38" s="527" customFormat="1" outlineLevel="1">
      <c r="B150" s="699">
        <f>'Master BOQ Pricing_2018-01-08'!B150</f>
        <v>8.26</v>
      </c>
      <c r="C150" s="700" t="str">
        <f>'Master BOQ Pricing_2018-01-08'!C150</f>
        <v>ISP - Supply and install concrete entry block</v>
      </c>
      <c r="D150" s="727" t="str">
        <f>'Master BOQ Pricing_2018-01-08'!D150</f>
        <v>ea</v>
      </c>
      <c r="E150" s="702">
        <f>'Master BOQ Pricing_2018-01-08'!E150</f>
        <v>250</v>
      </c>
      <c r="F150" s="703"/>
      <c r="G150" s="704">
        <f t="shared" si="131"/>
        <v>0</v>
      </c>
      <c r="H150" s="728"/>
      <c r="I150" s="729"/>
      <c r="J150" s="728"/>
      <c r="K150" s="729"/>
      <c r="L150" s="728"/>
      <c r="M150" s="729"/>
      <c r="N150" s="728"/>
      <c r="O150" s="729"/>
      <c r="P150" s="728"/>
      <c r="Q150" s="730"/>
      <c r="R150" s="731"/>
      <c r="S150" s="729"/>
      <c r="T150" s="711"/>
      <c r="U150" s="732">
        <f t="shared" si="132"/>
        <v>0</v>
      </c>
      <c r="V150" s="733">
        <f t="shared" si="133"/>
        <v>0</v>
      </c>
      <c r="W150" s="710"/>
      <c r="X150" s="711"/>
      <c r="Y150" s="732">
        <f t="shared" si="134"/>
        <v>0</v>
      </c>
      <c r="Z150" s="733">
        <f t="shared" si="135"/>
        <v>0</v>
      </c>
      <c r="AA150" s="710"/>
      <c r="AB150" s="711"/>
      <c r="AC150" s="732">
        <f t="shared" si="136"/>
        <v>0</v>
      </c>
      <c r="AD150" s="733">
        <f t="shared" si="137"/>
        <v>0</v>
      </c>
      <c r="AE150" s="712"/>
      <c r="AF150" s="711"/>
      <c r="AG150" s="732">
        <f t="shared" si="138"/>
        <v>0</v>
      </c>
      <c r="AH150" s="733">
        <f t="shared" si="139"/>
        <v>0</v>
      </c>
      <c r="AI150" s="712"/>
      <c r="AJ150" s="708"/>
      <c r="AK150" s="733">
        <f t="shared" si="140"/>
        <v>0</v>
      </c>
      <c r="AL150" s="713"/>
    </row>
    <row r="151" spans="2:38" s="527" customFormat="1" outlineLevel="1">
      <c r="B151" s="699">
        <f>'Master BOQ Pricing_2018-01-08'!B151</f>
        <v>8.27</v>
      </c>
      <c r="C151" s="700" t="str">
        <f>'Master BOQ Pricing_2018-01-08'!C151</f>
        <v xml:space="preserve">ISP - Supply and install flex pipe and gland onto bosal and gland plate. (Located where feeders enter BTS site) </v>
      </c>
      <c r="D151" s="727" t="str">
        <f>'Master BOQ Pricing_2018-01-08'!D151</f>
        <v>ea</v>
      </c>
      <c r="E151" s="702">
        <f>'Master BOQ Pricing_2018-01-08'!E151</f>
        <v>122.98</v>
      </c>
      <c r="F151" s="703"/>
      <c r="G151" s="704">
        <f t="shared" si="131"/>
        <v>0</v>
      </c>
      <c r="H151" s="728"/>
      <c r="I151" s="729"/>
      <c r="J151" s="728"/>
      <c r="K151" s="729"/>
      <c r="L151" s="728"/>
      <c r="M151" s="729"/>
      <c r="N151" s="728"/>
      <c r="O151" s="729"/>
      <c r="P151" s="728"/>
      <c r="Q151" s="730"/>
      <c r="R151" s="731"/>
      <c r="S151" s="729"/>
      <c r="T151" s="711"/>
      <c r="U151" s="732">
        <f t="shared" si="132"/>
        <v>0</v>
      </c>
      <c r="V151" s="733">
        <f t="shared" si="133"/>
        <v>0</v>
      </c>
      <c r="W151" s="710"/>
      <c r="X151" s="711"/>
      <c r="Y151" s="732">
        <f t="shared" si="134"/>
        <v>0</v>
      </c>
      <c r="Z151" s="733">
        <f t="shared" si="135"/>
        <v>0</v>
      </c>
      <c r="AA151" s="710"/>
      <c r="AB151" s="711"/>
      <c r="AC151" s="732">
        <f t="shared" si="136"/>
        <v>0</v>
      </c>
      <c r="AD151" s="733">
        <f t="shared" si="137"/>
        <v>0</v>
      </c>
      <c r="AE151" s="712"/>
      <c r="AF151" s="711"/>
      <c r="AG151" s="732">
        <f t="shared" si="138"/>
        <v>0</v>
      </c>
      <c r="AH151" s="733">
        <f t="shared" si="139"/>
        <v>0</v>
      </c>
      <c r="AI151" s="712"/>
      <c r="AJ151" s="708"/>
      <c r="AK151" s="733">
        <f t="shared" si="140"/>
        <v>0</v>
      </c>
      <c r="AL151" s="713"/>
    </row>
    <row r="152" spans="2:38" s="527" customFormat="1" outlineLevel="1">
      <c r="B152" s="699">
        <f>'Master BOQ Pricing_2018-01-08'!B152</f>
        <v>8.2799999999999994</v>
      </c>
      <c r="C152" s="700" t="str">
        <f>'Master BOQ Pricing_2018-01-08'!C152</f>
        <v>Install 50mm Stainless Steel Pipe</v>
      </c>
      <c r="D152" s="727" t="str">
        <f>'Master BOQ Pricing_2018-01-08'!D152</f>
        <v>m</v>
      </c>
      <c r="E152" s="702">
        <f>'Master BOQ Pricing_2018-01-08'!E152</f>
        <v>18</v>
      </c>
      <c r="F152" s="703"/>
      <c r="G152" s="704">
        <f t="shared" si="131"/>
        <v>0</v>
      </c>
      <c r="H152" s="728"/>
      <c r="I152" s="729"/>
      <c r="J152" s="728"/>
      <c r="K152" s="729"/>
      <c r="L152" s="728"/>
      <c r="M152" s="729"/>
      <c r="N152" s="728"/>
      <c r="O152" s="729"/>
      <c r="P152" s="728"/>
      <c r="Q152" s="730"/>
      <c r="R152" s="731"/>
      <c r="S152" s="729"/>
      <c r="T152" s="711"/>
      <c r="U152" s="732">
        <f t="shared" si="132"/>
        <v>0</v>
      </c>
      <c r="V152" s="733">
        <f t="shared" si="133"/>
        <v>0</v>
      </c>
      <c r="W152" s="710"/>
      <c r="X152" s="711"/>
      <c r="Y152" s="732">
        <f t="shared" si="134"/>
        <v>0</v>
      </c>
      <c r="Z152" s="733">
        <f t="shared" si="135"/>
        <v>0</v>
      </c>
      <c r="AA152" s="710"/>
      <c r="AB152" s="711"/>
      <c r="AC152" s="732">
        <f t="shared" si="136"/>
        <v>0</v>
      </c>
      <c r="AD152" s="733">
        <f t="shared" si="137"/>
        <v>0</v>
      </c>
      <c r="AE152" s="712"/>
      <c r="AF152" s="711"/>
      <c r="AG152" s="732">
        <f t="shared" si="138"/>
        <v>0</v>
      </c>
      <c r="AH152" s="733">
        <f t="shared" si="139"/>
        <v>0</v>
      </c>
      <c r="AI152" s="712"/>
      <c r="AJ152" s="708"/>
      <c r="AK152" s="733">
        <f t="shared" si="140"/>
        <v>0</v>
      </c>
      <c r="AL152" s="713"/>
    </row>
    <row r="153" spans="2:38" s="527" customFormat="1" outlineLevel="1">
      <c r="B153" s="699">
        <f>'Master BOQ Pricing_2018-01-08'!B153</f>
        <v>8.2899999999999991</v>
      </c>
      <c r="C153" s="700" t="str">
        <f>'Master BOQ Pricing_2018-01-08'!C153</f>
        <v>Supply and Install 6U x 400+200mm -19" Wall mount Swing Cabinet</v>
      </c>
      <c r="D153" s="727" t="str">
        <f>'Master BOQ Pricing_2018-01-08'!D153</f>
        <v>ea</v>
      </c>
      <c r="E153" s="702">
        <f>'Master BOQ Pricing_2018-01-08'!E153</f>
        <v>1953.5</v>
      </c>
      <c r="F153" s="703"/>
      <c r="G153" s="704">
        <f t="shared" si="131"/>
        <v>0</v>
      </c>
      <c r="H153" s="728"/>
      <c r="I153" s="729"/>
      <c r="J153" s="728"/>
      <c r="K153" s="729"/>
      <c r="L153" s="728"/>
      <c r="M153" s="729"/>
      <c r="N153" s="728"/>
      <c r="O153" s="729"/>
      <c r="P153" s="728"/>
      <c r="Q153" s="730"/>
      <c r="R153" s="731"/>
      <c r="S153" s="729"/>
      <c r="T153" s="711"/>
      <c r="U153" s="732">
        <f t="shared" si="132"/>
        <v>0</v>
      </c>
      <c r="V153" s="733">
        <f t="shared" si="133"/>
        <v>0</v>
      </c>
      <c r="W153" s="710"/>
      <c r="X153" s="711"/>
      <c r="Y153" s="732">
        <f t="shared" si="134"/>
        <v>0</v>
      </c>
      <c r="Z153" s="733">
        <f t="shared" si="135"/>
        <v>0</v>
      </c>
      <c r="AA153" s="710"/>
      <c r="AB153" s="711"/>
      <c r="AC153" s="732">
        <f t="shared" si="136"/>
        <v>0</v>
      </c>
      <c r="AD153" s="733">
        <f t="shared" si="137"/>
        <v>0</v>
      </c>
      <c r="AE153" s="712"/>
      <c r="AF153" s="711"/>
      <c r="AG153" s="732">
        <f t="shared" si="138"/>
        <v>0</v>
      </c>
      <c r="AH153" s="733">
        <f t="shared" si="139"/>
        <v>0</v>
      </c>
      <c r="AI153" s="712"/>
      <c r="AJ153" s="708"/>
      <c r="AK153" s="733">
        <f t="shared" si="140"/>
        <v>0</v>
      </c>
      <c r="AL153" s="713"/>
    </row>
    <row r="154" spans="2:38" s="527" customFormat="1" outlineLevel="1">
      <c r="B154" s="699">
        <f>'Master BOQ Pricing_2018-01-08'!B154</f>
        <v>8.3000000000000007</v>
      </c>
      <c r="C154" s="700" t="str">
        <f>'Master BOQ Pricing_2018-01-08'!C154</f>
        <v>Supply and Install 9U x 400+200mm -19" Wall mount Swing Cabinet</v>
      </c>
      <c r="D154" s="727" t="str">
        <f>'Master BOQ Pricing_2018-01-08'!D154</f>
        <v>ea</v>
      </c>
      <c r="E154" s="702">
        <f>'Master BOQ Pricing_2018-01-08'!E154</f>
        <v>2566</v>
      </c>
      <c r="F154" s="703"/>
      <c r="G154" s="704">
        <f t="shared" si="131"/>
        <v>0</v>
      </c>
      <c r="H154" s="728"/>
      <c r="I154" s="729"/>
      <c r="J154" s="728"/>
      <c r="K154" s="729"/>
      <c r="L154" s="728"/>
      <c r="M154" s="729"/>
      <c r="N154" s="728"/>
      <c r="O154" s="729"/>
      <c r="P154" s="728"/>
      <c r="Q154" s="730"/>
      <c r="R154" s="731"/>
      <c r="S154" s="729"/>
      <c r="T154" s="711"/>
      <c r="U154" s="732">
        <f t="shared" si="132"/>
        <v>0</v>
      </c>
      <c r="V154" s="733">
        <f t="shared" si="133"/>
        <v>0</v>
      </c>
      <c r="W154" s="710"/>
      <c r="X154" s="711"/>
      <c r="Y154" s="732">
        <f t="shared" si="134"/>
        <v>0</v>
      </c>
      <c r="Z154" s="733">
        <f t="shared" si="135"/>
        <v>0</v>
      </c>
      <c r="AA154" s="710"/>
      <c r="AB154" s="711"/>
      <c r="AC154" s="732">
        <f t="shared" si="136"/>
        <v>0</v>
      </c>
      <c r="AD154" s="733">
        <f t="shared" si="137"/>
        <v>0</v>
      </c>
      <c r="AE154" s="712"/>
      <c r="AF154" s="711"/>
      <c r="AG154" s="732">
        <f t="shared" si="138"/>
        <v>0</v>
      </c>
      <c r="AH154" s="733">
        <f t="shared" si="139"/>
        <v>0</v>
      </c>
      <c r="AI154" s="712"/>
      <c r="AJ154" s="708"/>
      <c r="AK154" s="733">
        <f t="shared" si="140"/>
        <v>0</v>
      </c>
      <c r="AL154" s="713"/>
    </row>
    <row r="155" spans="2:38" s="527" customFormat="1" outlineLevel="1">
      <c r="B155" s="699">
        <f>'Master BOQ Pricing_2018-01-08'!B155</f>
        <v>8.31</v>
      </c>
      <c r="C155" s="700" t="str">
        <f>'Master BOQ Pricing_2018-01-08'!C155</f>
        <v>Install up to 12 U Cabinet</v>
      </c>
      <c r="D155" s="727" t="str">
        <f>'Master BOQ Pricing_2018-01-08'!D155</f>
        <v>ea</v>
      </c>
      <c r="E155" s="702">
        <f>'Master BOQ Pricing_2018-01-08'!E155</f>
        <v>500</v>
      </c>
      <c r="F155" s="703"/>
      <c r="G155" s="704">
        <f t="shared" si="131"/>
        <v>0</v>
      </c>
      <c r="H155" s="728"/>
      <c r="I155" s="729"/>
      <c r="J155" s="728"/>
      <c r="K155" s="729"/>
      <c r="L155" s="728"/>
      <c r="M155" s="729"/>
      <c r="N155" s="728"/>
      <c r="O155" s="729"/>
      <c r="P155" s="728"/>
      <c r="Q155" s="730"/>
      <c r="R155" s="731"/>
      <c r="S155" s="729"/>
      <c r="T155" s="711"/>
      <c r="U155" s="732">
        <f t="shared" si="132"/>
        <v>0</v>
      </c>
      <c r="V155" s="733">
        <f t="shared" si="133"/>
        <v>0</v>
      </c>
      <c r="W155" s="710"/>
      <c r="X155" s="711"/>
      <c r="Y155" s="732">
        <f t="shared" si="134"/>
        <v>0</v>
      </c>
      <c r="Z155" s="733">
        <f t="shared" si="135"/>
        <v>0</v>
      </c>
      <c r="AA155" s="710"/>
      <c r="AB155" s="711"/>
      <c r="AC155" s="732">
        <f t="shared" si="136"/>
        <v>0</v>
      </c>
      <c r="AD155" s="733">
        <f t="shared" si="137"/>
        <v>0</v>
      </c>
      <c r="AE155" s="712"/>
      <c r="AF155" s="711"/>
      <c r="AG155" s="732">
        <f t="shared" si="138"/>
        <v>0</v>
      </c>
      <c r="AH155" s="733">
        <f t="shared" si="139"/>
        <v>0</v>
      </c>
      <c r="AI155" s="712"/>
      <c r="AJ155" s="708"/>
      <c r="AK155" s="733">
        <f t="shared" si="140"/>
        <v>0</v>
      </c>
      <c r="AL155" s="713"/>
    </row>
    <row r="156" spans="2:38" s="527" customFormat="1" outlineLevel="1">
      <c r="B156" s="699">
        <f>'Master BOQ Pricing_2018-01-08'!B156</f>
        <v>8.32</v>
      </c>
      <c r="C156" s="700" t="str">
        <f>'Master BOQ Pricing_2018-01-08'!C156</f>
        <v>Prepare and install Fibre Termination Point  4 / 12 / 24  way Wall Mount Distribution Box including accessories</v>
      </c>
      <c r="D156" s="727" t="str">
        <f>'Master BOQ Pricing_2018-01-08'!D156</f>
        <v>ea</v>
      </c>
      <c r="E156" s="702">
        <f>'Master BOQ Pricing_2018-01-08'!E156</f>
        <v>67.069999999999993</v>
      </c>
      <c r="F156" s="703">
        <v>1</v>
      </c>
      <c r="G156" s="704">
        <f t="shared" si="131"/>
        <v>67.069999999999993</v>
      </c>
      <c r="H156" s="728"/>
      <c r="I156" s="729"/>
      <c r="J156" s="728"/>
      <c r="K156" s="729"/>
      <c r="L156" s="728"/>
      <c r="M156" s="729"/>
      <c r="N156" s="728"/>
      <c r="O156" s="729"/>
      <c r="P156" s="728"/>
      <c r="Q156" s="730"/>
      <c r="R156" s="731"/>
      <c r="S156" s="729"/>
      <c r="T156" s="711"/>
      <c r="U156" s="732">
        <f t="shared" si="132"/>
        <v>1</v>
      </c>
      <c r="V156" s="733">
        <f t="shared" si="133"/>
        <v>67.069999999999993</v>
      </c>
      <c r="W156" s="710"/>
      <c r="X156" s="711"/>
      <c r="Y156" s="732">
        <f t="shared" si="134"/>
        <v>1</v>
      </c>
      <c r="Z156" s="733">
        <f t="shared" si="135"/>
        <v>67.069999999999993</v>
      </c>
      <c r="AA156" s="710"/>
      <c r="AB156" s="711"/>
      <c r="AC156" s="732">
        <f t="shared" si="136"/>
        <v>1</v>
      </c>
      <c r="AD156" s="733">
        <f t="shared" si="137"/>
        <v>67.069999999999993</v>
      </c>
      <c r="AE156" s="712"/>
      <c r="AF156" s="711"/>
      <c r="AG156" s="732">
        <f t="shared" si="138"/>
        <v>1</v>
      </c>
      <c r="AH156" s="733">
        <f t="shared" si="139"/>
        <v>67.069999999999993</v>
      </c>
      <c r="AI156" s="712"/>
      <c r="AJ156" s="708"/>
      <c r="AK156" s="733">
        <f t="shared" si="140"/>
        <v>0</v>
      </c>
      <c r="AL156" s="713"/>
    </row>
    <row r="157" spans="2:38" s="527" customFormat="1" outlineLevel="1">
      <c r="B157" s="699">
        <f>'Master BOQ Pricing_2018-01-08'!B157</f>
        <v>8.33</v>
      </c>
      <c r="C157" s="700" t="str">
        <f>'Master BOQ Pricing_2018-01-08'!C157</f>
        <v>Supply and Label ODF and Cables on ISP Installations</v>
      </c>
      <c r="D157" s="727" t="str">
        <f>'Master BOQ Pricing_2018-01-08'!D157</f>
        <v>ea</v>
      </c>
      <c r="E157" s="702">
        <f>'Master BOQ Pricing_2018-01-08'!E157</f>
        <v>90.91</v>
      </c>
      <c r="F157" s="703">
        <v>2</v>
      </c>
      <c r="G157" s="704">
        <f t="shared" si="131"/>
        <v>181.82</v>
      </c>
      <c r="H157" s="728"/>
      <c r="I157" s="729"/>
      <c r="J157" s="728"/>
      <c r="K157" s="729"/>
      <c r="L157" s="728"/>
      <c r="M157" s="729"/>
      <c r="N157" s="728"/>
      <c r="O157" s="729"/>
      <c r="P157" s="728"/>
      <c r="Q157" s="730"/>
      <c r="R157" s="731"/>
      <c r="S157" s="729"/>
      <c r="T157" s="711"/>
      <c r="U157" s="732">
        <f t="shared" si="132"/>
        <v>2</v>
      </c>
      <c r="V157" s="733">
        <f t="shared" si="133"/>
        <v>181.82</v>
      </c>
      <c r="W157" s="710"/>
      <c r="X157" s="711"/>
      <c r="Y157" s="732">
        <f t="shared" si="134"/>
        <v>2</v>
      </c>
      <c r="Z157" s="733">
        <f t="shared" si="135"/>
        <v>181.82</v>
      </c>
      <c r="AA157" s="710"/>
      <c r="AB157" s="711"/>
      <c r="AC157" s="732">
        <f t="shared" si="136"/>
        <v>2</v>
      </c>
      <c r="AD157" s="733">
        <f t="shared" si="137"/>
        <v>181.82</v>
      </c>
      <c r="AE157" s="712"/>
      <c r="AF157" s="711"/>
      <c r="AG157" s="732">
        <f t="shared" si="138"/>
        <v>2</v>
      </c>
      <c r="AH157" s="733">
        <f t="shared" si="139"/>
        <v>181.82</v>
      </c>
      <c r="AI157" s="712"/>
      <c r="AJ157" s="708"/>
      <c r="AK157" s="733">
        <f t="shared" si="140"/>
        <v>0</v>
      </c>
      <c r="AL157" s="713"/>
    </row>
    <row r="158" spans="2:38" s="527" customFormat="1" outlineLevel="1">
      <c r="B158" s="699">
        <f>'Master BOQ Pricing_2018-01-08'!B158</f>
        <v>8.34</v>
      </c>
      <c r="C158" s="700" t="str">
        <f>'Master BOQ Pricing_2018-01-08'!C158</f>
        <v>Supply and Label Micro Duct on ISP Installations (Heat Shrink, Arrow Label holders, Brother Tape &amp; Cable Ties)</v>
      </c>
      <c r="D158" s="727" t="str">
        <f>'Master BOQ Pricing_2018-01-08'!D158</f>
        <v>ea</v>
      </c>
      <c r="E158" s="702">
        <f>'Master BOQ Pricing_2018-01-08'!E158</f>
        <v>90.91</v>
      </c>
      <c r="F158" s="703"/>
      <c r="G158" s="704">
        <f t="shared" si="131"/>
        <v>0</v>
      </c>
      <c r="H158" s="728"/>
      <c r="I158" s="729"/>
      <c r="J158" s="728"/>
      <c r="K158" s="729"/>
      <c r="L158" s="728"/>
      <c r="M158" s="729"/>
      <c r="N158" s="728"/>
      <c r="O158" s="729"/>
      <c r="P158" s="728"/>
      <c r="Q158" s="730"/>
      <c r="R158" s="731"/>
      <c r="S158" s="729"/>
      <c r="T158" s="711"/>
      <c r="U158" s="732">
        <f t="shared" si="132"/>
        <v>0</v>
      </c>
      <c r="V158" s="733">
        <f t="shared" si="133"/>
        <v>0</v>
      </c>
      <c r="W158" s="710"/>
      <c r="X158" s="711"/>
      <c r="Y158" s="732">
        <f t="shared" si="134"/>
        <v>0</v>
      </c>
      <c r="Z158" s="733">
        <f t="shared" si="135"/>
        <v>0</v>
      </c>
      <c r="AA158" s="710"/>
      <c r="AB158" s="711"/>
      <c r="AC158" s="732">
        <f t="shared" si="136"/>
        <v>0</v>
      </c>
      <c r="AD158" s="733">
        <f t="shared" si="137"/>
        <v>0</v>
      </c>
      <c r="AE158" s="712"/>
      <c r="AF158" s="711"/>
      <c r="AG158" s="732">
        <f t="shared" si="138"/>
        <v>0</v>
      </c>
      <c r="AH158" s="733">
        <f t="shared" si="139"/>
        <v>0</v>
      </c>
      <c r="AI158" s="712"/>
      <c r="AJ158" s="708"/>
      <c r="AK158" s="733">
        <f t="shared" si="140"/>
        <v>0</v>
      </c>
      <c r="AL158" s="713"/>
    </row>
    <row r="159" spans="2:38" s="527" customFormat="1" outlineLevel="1">
      <c r="B159" s="699">
        <f>'Master BOQ Pricing_2018-01-08'!B159</f>
        <v>8.35</v>
      </c>
      <c r="C159" s="700" t="str">
        <f>'Master BOQ Pricing_2018-01-08'!C159</f>
        <v>Supply and Label Micro Duct on ISP Installations (Brother Tape on the 1 Way)</v>
      </c>
      <c r="D159" s="727" t="str">
        <f>'Master BOQ Pricing_2018-01-08'!D159</f>
        <v>ea</v>
      </c>
      <c r="E159" s="702">
        <f>'Master BOQ Pricing_2018-01-08'!E159</f>
        <v>25</v>
      </c>
      <c r="F159" s="703">
        <v>2</v>
      </c>
      <c r="G159" s="704">
        <f t="shared" ref="G159" si="141">+F159*E159</f>
        <v>50</v>
      </c>
      <c r="H159" s="728"/>
      <c r="I159" s="729"/>
      <c r="J159" s="728"/>
      <c r="K159" s="729"/>
      <c r="L159" s="728"/>
      <c r="M159" s="729"/>
      <c r="N159" s="728"/>
      <c r="O159" s="729"/>
      <c r="P159" s="728"/>
      <c r="Q159" s="730"/>
      <c r="R159" s="731"/>
      <c r="S159" s="729"/>
      <c r="T159" s="711"/>
      <c r="U159" s="732">
        <f t="shared" ref="U159" si="142">T159+F159</f>
        <v>2</v>
      </c>
      <c r="V159" s="733">
        <f t="shared" ref="V159" si="143">U159*E159</f>
        <v>50</v>
      </c>
      <c r="W159" s="710"/>
      <c r="X159" s="711"/>
      <c r="Y159" s="732">
        <f t="shared" ref="Y159" si="144">X159+U159</f>
        <v>2</v>
      </c>
      <c r="Z159" s="733">
        <f t="shared" ref="Z159" si="145">Y159*E159</f>
        <v>50</v>
      </c>
      <c r="AA159" s="710"/>
      <c r="AB159" s="711"/>
      <c r="AC159" s="732">
        <f t="shared" ref="AC159" si="146">AB159+Y159</f>
        <v>2</v>
      </c>
      <c r="AD159" s="733">
        <f t="shared" ref="AD159" si="147">AC159*E159</f>
        <v>50</v>
      </c>
      <c r="AE159" s="712"/>
      <c r="AF159" s="711"/>
      <c r="AG159" s="732">
        <f t="shared" ref="AG159" si="148">AF159+AC159</f>
        <v>2</v>
      </c>
      <c r="AH159" s="733">
        <f t="shared" ref="AH159" si="149">AG159*E159</f>
        <v>50</v>
      </c>
      <c r="AI159" s="712"/>
      <c r="AJ159" s="708"/>
      <c r="AK159" s="733">
        <f t="shared" ref="AK159" si="150">AJ159*E159</f>
        <v>0</v>
      </c>
      <c r="AL159" s="713"/>
    </row>
    <row r="160" spans="2:38" s="527" customFormat="1">
      <c r="B160" s="741">
        <f>'Master BOQ Pricing_2018-01-08'!B160</f>
        <v>9</v>
      </c>
      <c r="C160" s="742" t="str">
        <f>'Master BOQ Pricing_2018-01-08'!C160</f>
        <v>CABLE FLOATING AND HAULING</v>
      </c>
      <c r="D160" s="764"/>
      <c r="E160" s="765"/>
      <c r="F160" s="745"/>
      <c r="G160" s="746">
        <f>SUBTOTAL(9,G161,G164:G167)</f>
        <v>0</v>
      </c>
      <c r="H160" s="747"/>
      <c r="I160" s="748"/>
      <c r="J160" s="747"/>
      <c r="K160" s="748"/>
      <c r="L160" s="747"/>
      <c r="M160" s="748"/>
      <c r="N160" s="747"/>
      <c r="O160" s="746">
        <f>SUBTOTAL(9,O162:O163,O168)</f>
        <v>0</v>
      </c>
      <c r="P160" s="747"/>
      <c r="Q160" s="749"/>
      <c r="R160" s="750"/>
      <c r="S160" s="748"/>
      <c r="T160" s="751"/>
      <c r="U160" s="752"/>
      <c r="V160" s="753"/>
      <c r="W160" s="754"/>
      <c r="X160" s="751"/>
      <c r="Y160" s="755"/>
      <c r="Z160" s="756"/>
      <c r="AA160" s="757"/>
      <c r="AB160" s="758"/>
      <c r="AC160" s="755"/>
      <c r="AD160" s="756"/>
      <c r="AE160" s="759"/>
      <c r="AF160" s="758"/>
      <c r="AG160" s="755"/>
      <c r="AH160" s="756"/>
      <c r="AI160" s="759"/>
      <c r="AJ160" s="760"/>
      <c r="AK160" s="756"/>
      <c r="AL160" s="761"/>
    </row>
    <row r="161" spans="2:38" s="527" customFormat="1" outlineLevel="1">
      <c r="B161" s="699">
        <f>'Master BOQ Pricing_2018-01-08'!B161</f>
        <v>9.01</v>
      </c>
      <c r="C161" s="700" t="str">
        <f>'Master BOQ Pricing_2018-01-08'!C161</f>
        <v>Install 2 / 4 / 6 / 8 / 12 / 24 Fibre Optic Drop Cable in 1 / 2 / 4 / 7 way micro duct</v>
      </c>
      <c r="D161" s="727" t="str">
        <f>'Master BOQ Pricing_2018-01-08'!D161</f>
        <v>m</v>
      </c>
      <c r="E161" s="702">
        <f>'Master BOQ Pricing_2018-01-08'!E161</f>
        <v>4.5</v>
      </c>
      <c r="F161" s="785"/>
      <c r="G161" s="704">
        <f>E161*F161</f>
        <v>0</v>
      </c>
      <c r="H161" s="728"/>
      <c r="I161" s="729"/>
      <c r="J161" s="728"/>
      <c r="K161" s="729"/>
      <c r="L161" s="728"/>
      <c r="M161" s="729"/>
      <c r="N161" s="767"/>
      <c r="O161" s="729"/>
      <c r="P161" s="728"/>
      <c r="Q161" s="730"/>
      <c r="R161" s="731"/>
      <c r="S161" s="729"/>
      <c r="T161" s="711"/>
      <c r="U161" s="732">
        <f>T161+F161</f>
        <v>0</v>
      </c>
      <c r="V161" s="733">
        <f>U161*E161</f>
        <v>0</v>
      </c>
      <c r="W161" s="710"/>
      <c r="X161" s="711"/>
      <c r="Y161" s="732">
        <f t="shared" si="100"/>
        <v>0</v>
      </c>
      <c r="Z161" s="733">
        <f t="shared" si="101"/>
        <v>0</v>
      </c>
      <c r="AA161" s="710"/>
      <c r="AB161" s="711"/>
      <c r="AC161" s="732">
        <f t="shared" si="102"/>
        <v>0</v>
      </c>
      <c r="AD161" s="733">
        <f t="shared" si="103"/>
        <v>0</v>
      </c>
      <c r="AE161" s="712"/>
      <c r="AF161" s="711"/>
      <c r="AG161" s="732">
        <f t="shared" si="104"/>
        <v>0</v>
      </c>
      <c r="AH161" s="733">
        <f t="shared" si="105"/>
        <v>0</v>
      </c>
      <c r="AI161" s="712"/>
      <c r="AJ161" s="708"/>
      <c r="AK161" s="733">
        <f t="shared" si="106"/>
        <v>0</v>
      </c>
      <c r="AL161" s="713"/>
    </row>
    <row r="162" spans="2:38" s="527" customFormat="1" outlineLevel="1">
      <c r="B162" s="699">
        <f>'Master BOQ Pricing_2018-01-08'!B162</f>
        <v>9.02</v>
      </c>
      <c r="C162" s="700" t="str">
        <f>'Master BOQ Pricing_2018-01-08'!C162</f>
        <v xml:space="preserve">Floating of Focus/CST Optic fibre cable in 40mm HDPE duct </v>
      </c>
      <c r="D162" s="727" t="str">
        <f>'Master BOQ Pricing_2018-01-08'!D162</f>
        <v>m</v>
      </c>
      <c r="E162" s="702">
        <f>'Master BOQ Pricing_2018-01-08'!E162</f>
        <v>5.5</v>
      </c>
      <c r="F162" s="786"/>
      <c r="G162" s="729"/>
      <c r="H162" s="728"/>
      <c r="I162" s="729"/>
      <c r="J162" s="728"/>
      <c r="K162" s="729"/>
      <c r="L162" s="728"/>
      <c r="M162" s="729"/>
      <c r="N162" s="766"/>
      <c r="O162" s="704">
        <f>N162*E162</f>
        <v>0</v>
      </c>
      <c r="P162" s="728"/>
      <c r="Q162" s="730"/>
      <c r="R162" s="731"/>
      <c r="S162" s="729"/>
      <c r="T162" s="711"/>
      <c r="U162" s="732">
        <f>T162+N162</f>
        <v>0</v>
      </c>
      <c r="V162" s="733">
        <f>U162*E162</f>
        <v>0</v>
      </c>
      <c r="W162" s="710"/>
      <c r="X162" s="711"/>
      <c r="Y162" s="732">
        <f t="shared" si="100"/>
        <v>0</v>
      </c>
      <c r="Z162" s="733">
        <f t="shared" si="101"/>
        <v>0</v>
      </c>
      <c r="AA162" s="710"/>
      <c r="AB162" s="711"/>
      <c r="AC162" s="732">
        <f t="shared" si="102"/>
        <v>0</v>
      </c>
      <c r="AD162" s="733">
        <f t="shared" si="103"/>
        <v>0</v>
      </c>
      <c r="AE162" s="712"/>
      <c r="AF162" s="711"/>
      <c r="AG162" s="732">
        <f t="shared" si="104"/>
        <v>0</v>
      </c>
      <c r="AH162" s="733">
        <f t="shared" si="105"/>
        <v>0</v>
      </c>
      <c r="AI162" s="712"/>
      <c r="AJ162" s="708"/>
      <c r="AK162" s="733">
        <f t="shared" si="106"/>
        <v>0</v>
      </c>
      <c r="AL162" s="713"/>
    </row>
    <row r="163" spans="2:38" s="527" customFormat="1" outlineLevel="1">
      <c r="B163" s="699">
        <f>'Master BOQ Pricing_2018-01-08'!B163</f>
        <v>9.0299999999999994</v>
      </c>
      <c r="C163" s="700" t="str">
        <f>'Master BOQ Pricing_2018-01-08'!C163</f>
        <v>Floating of Micro cable in 1 / 2 / 4 / 7 way micro duct</v>
      </c>
      <c r="D163" s="727" t="str">
        <f>'Master BOQ Pricing_2018-01-08'!D163</f>
        <v>m</v>
      </c>
      <c r="E163" s="702">
        <f>'Master BOQ Pricing_2018-01-08'!E163</f>
        <v>4.5</v>
      </c>
      <c r="F163" s="786"/>
      <c r="G163" s="729"/>
      <c r="H163" s="728"/>
      <c r="I163" s="729"/>
      <c r="J163" s="728"/>
      <c r="K163" s="729"/>
      <c r="L163" s="728"/>
      <c r="M163" s="729"/>
      <c r="N163" s="766"/>
      <c r="O163" s="704">
        <f t="shared" ref="O163" si="151">+N163*$E163</f>
        <v>0</v>
      </c>
      <c r="P163" s="767"/>
      <c r="Q163" s="768"/>
      <c r="R163" s="769"/>
      <c r="S163" s="729"/>
      <c r="T163" s="711"/>
      <c r="U163" s="732">
        <f>T163+N163</f>
        <v>0</v>
      </c>
      <c r="V163" s="733">
        <f>U163*E163</f>
        <v>0</v>
      </c>
      <c r="W163" s="710"/>
      <c r="X163" s="711"/>
      <c r="Y163" s="732">
        <f t="shared" si="100"/>
        <v>0</v>
      </c>
      <c r="Z163" s="733">
        <f t="shared" si="101"/>
        <v>0</v>
      </c>
      <c r="AA163" s="710"/>
      <c r="AB163" s="711"/>
      <c r="AC163" s="732">
        <f t="shared" si="102"/>
        <v>0</v>
      </c>
      <c r="AD163" s="733">
        <f t="shared" si="103"/>
        <v>0</v>
      </c>
      <c r="AE163" s="712"/>
      <c r="AF163" s="711"/>
      <c r="AG163" s="732">
        <f t="shared" si="104"/>
        <v>0</v>
      </c>
      <c r="AH163" s="733">
        <f t="shared" si="105"/>
        <v>0</v>
      </c>
      <c r="AI163" s="712"/>
      <c r="AJ163" s="708"/>
      <c r="AK163" s="733">
        <f t="shared" si="106"/>
        <v>0</v>
      </c>
      <c r="AL163" s="713"/>
    </row>
    <row r="164" spans="2:38" s="527" customFormat="1" outlineLevel="1">
      <c r="B164" s="699">
        <f>'Master BOQ Pricing_2018-01-08'!B164</f>
        <v>9.0399999999999991</v>
      </c>
      <c r="C164" s="700" t="str">
        <f>'Master BOQ Pricing_2018-01-08'!C164</f>
        <v xml:space="preserve">Pulling of slack between manholes (existing cables  Measurement of slack in manhole only) </v>
      </c>
      <c r="D164" s="727" t="str">
        <f>'Master BOQ Pricing_2018-01-08'!D164</f>
        <v>m</v>
      </c>
      <c r="E164" s="702">
        <f>'Master BOQ Pricing_2018-01-08'!E164</f>
        <v>3</v>
      </c>
      <c r="F164" s="787"/>
      <c r="G164" s="704">
        <f t="shared" ref="G164:G167" si="152">E164*F164</f>
        <v>0</v>
      </c>
      <c r="H164" s="728"/>
      <c r="I164" s="729"/>
      <c r="J164" s="788"/>
      <c r="K164" s="789"/>
      <c r="L164" s="788"/>
      <c r="M164" s="789"/>
      <c r="N164" s="790"/>
      <c r="O164" s="729"/>
      <c r="P164" s="790"/>
      <c r="Q164" s="791"/>
      <c r="R164" s="792"/>
      <c r="S164" s="789"/>
      <c r="T164" s="711"/>
      <c r="U164" s="732">
        <f>T164+F164</f>
        <v>0</v>
      </c>
      <c r="V164" s="733">
        <f>U164*E164</f>
        <v>0</v>
      </c>
      <c r="W164" s="710"/>
      <c r="X164" s="711"/>
      <c r="Y164" s="732">
        <f t="shared" si="100"/>
        <v>0</v>
      </c>
      <c r="Z164" s="733">
        <f t="shared" si="101"/>
        <v>0</v>
      </c>
      <c r="AA164" s="710"/>
      <c r="AB164" s="711"/>
      <c r="AC164" s="732">
        <f t="shared" si="102"/>
        <v>0</v>
      </c>
      <c r="AD164" s="733">
        <f t="shared" si="103"/>
        <v>0</v>
      </c>
      <c r="AE164" s="712"/>
      <c r="AF164" s="711"/>
      <c r="AG164" s="732">
        <f t="shared" si="104"/>
        <v>0</v>
      </c>
      <c r="AH164" s="733">
        <f t="shared" si="105"/>
        <v>0</v>
      </c>
      <c r="AI164" s="712"/>
      <c r="AJ164" s="708"/>
      <c r="AK164" s="733">
        <f t="shared" si="106"/>
        <v>0</v>
      </c>
      <c r="AL164" s="713"/>
    </row>
    <row r="165" spans="2:38" s="527" customFormat="1" outlineLevel="1">
      <c r="B165" s="699">
        <f>'Master BOQ Pricing_2018-01-08'!B165</f>
        <v>9.0500000000000007</v>
      </c>
      <c r="C165" s="700" t="str">
        <f>'Master BOQ Pricing_2018-01-08'!C165</f>
        <v>Installation and pulling/Hauling of fibre optical cable in EXISTING ducts</v>
      </c>
      <c r="D165" s="727" t="str">
        <f>'Master BOQ Pricing_2018-01-08'!D165</f>
        <v>m</v>
      </c>
      <c r="E165" s="702">
        <f>'Master BOQ Pricing_2018-01-08'!E165</f>
        <v>9.98</v>
      </c>
      <c r="F165" s="787"/>
      <c r="G165" s="704">
        <f t="shared" si="152"/>
        <v>0</v>
      </c>
      <c r="H165" s="728"/>
      <c r="I165" s="729"/>
      <c r="J165" s="788"/>
      <c r="K165" s="789"/>
      <c r="L165" s="788"/>
      <c r="M165" s="789"/>
      <c r="N165" s="790"/>
      <c r="O165" s="729"/>
      <c r="P165" s="790"/>
      <c r="Q165" s="791"/>
      <c r="R165" s="792"/>
      <c r="S165" s="789"/>
      <c r="T165" s="711"/>
      <c r="U165" s="732">
        <f t="shared" ref="U165:U167" si="153">T165+F165</f>
        <v>0</v>
      </c>
      <c r="V165" s="733">
        <f t="shared" ref="V165:V167" si="154">U165*E165</f>
        <v>0</v>
      </c>
      <c r="W165" s="710"/>
      <c r="X165" s="711"/>
      <c r="Y165" s="732">
        <f t="shared" si="100"/>
        <v>0</v>
      </c>
      <c r="Z165" s="733">
        <f t="shared" si="101"/>
        <v>0</v>
      </c>
      <c r="AA165" s="710"/>
      <c r="AB165" s="711"/>
      <c r="AC165" s="732">
        <f t="shared" si="102"/>
        <v>0</v>
      </c>
      <c r="AD165" s="733">
        <f t="shared" si="103"/>
        <v>0</v>
      </c>
      <c r="AE165" s="712"/>
      <c r="AF165" s="711"/>
      <c r="AG165" s="732">
        <f t="shared" si="104"/>
        <v>0</v>
      </c>
      <c r="AH165" s="733">
        <f t="shared" si="105"/>
        <v>0</v>
      </c>
      <c r="AI165" s="712"/>
      <c r="AJ165" s="708"/>
      <c r="AK165" s="733">
        <f t="shared" si="106"/>
        <v>0</v>
      </c>
      <c r="AL165" s="713"/>
    </row>
    <row r="166" spans="2:38" s="527" customFormat="1" outlineLevel="1">
      <c r="B166" s="699">
        <f>'Master BOQ Pricing_2018-01-08'!B166</f>
        <v>9.06</v>
      </c>
      <c r="C166" s="700" t="str">
        <f>'Master BOQ Pricing_2018-01-08'!C166</f>
        <v>Installation and pulling/Hauling of fibre optical cable in NEW ducts</v>
      </c>
      <c r="D166" s="727" t="str">
        <f>'Master BOQ Pricing_2018-01-08'!D166</f>
        <v>m</v>
      </c>
      <c r="E166" s="702">
        <f>'Master BOQ Pricing_2018-01-08'!E166</f>
        <v>9.7100000000000009</v>
      </c>
      <c r="F166" s="787"/>
      <c r="G166" s="704">
        <f t="shared" si="152"/>
        <v>0</v>
      </c>
      <c r="H166" s="728"/>
      <c r="I166" s="729"/>
      <c r="J166" s="788"/>
      <c r="K166" s="789"/>
      <c r="L166" s="788"/>
      <c r="M166" s="789"/>
      <c r="N166" s="790"/>
      <c r="O166" s="729"/>
      <c r="P166" s="790"/>
      <c r="Q166" s="791"/>
      <c r="R166" s="792"/>
      <c r="S166" s="789"/>
      <c r="T166" s="711"/>
      <c r="U166" s="732">
        <f t="shared" si="153"/>
        <v>0</v>
      </c>
      <c r="V166" s="733">
        <f t="shared" si="154"/>
        <v>0</v>
      </c>
      <c r="W166" s="710"/>
      <c r="X166" s="711"/>
      <c r="Y166" s="732">
        <f t="shared" si="100"/>
        <v>0</v>
      </c>
      <c r="Z166" s="733">
        <f t="shared" si="101"/>
        <v>0</v>
      </c>
      <c r="AA166" s="710"/>
      <c r="AB166" s="711"/>
      <c r="AC166" s="732">
        <f t="shared" si="102"/>
        <v>0</v>
      </c>
      <c r="AD166" s="733">
        <f t="shared" si="103"/>
        <v>0</v>
      </c>
      <c r="AE166" s="712"/>
      <c r="AF166" s="711"/>
      <c r="AG166" s="732">
        <f t="shared" si="104"/>
        <v>0</v>
      </c>
      <c r="AH166" s="733">
        <f t="shared" si="105"/>
        <v>0</v>
      </c>
      <c r="AI166" s="712"/>
      <c r="AJ166" s="708"/>
      <c r="AK166" s="733">
        <f t="shared" si="106"/>
        <v>0</v>
      </c>
      <c r="AL166" s="713"/>
    </row>
    <row r="167" spans="2:38" s="527" customFormat="1" outlineLevel="1">
      <c r="B167" s="699">
        <f>'Master BOQ Pricing_2018-01-08'!B167</f>
        <v>9.07</v>
      </c>
      <c r="C167" s="700" t="str">
        <f>'Master BOQ Pricing_2018-01-08'!C167</f>
        <v>Recovery of cable from existing ducts and sewer</v>
      </c>
      <c r="D167" s="727" t="str">
        <f>'Master BOQ Pricing_2018-01-08'!D167</f>
        <v>m</v>
      </c>
      <c r="E167" s="702">
        <f>'Master BOQ Pricing_2018-01-08'!E167</f>
        <v>3</v>
      </c>
      <c r="F167" s="787"/>
      <c r="G167" s="704">
        <f t="shared" si="152"/>
        <v>0</v>
      </c>
      <c r="H167" s="728"/>
      <c r="I167" s="729"/>
      <c r="J167" s="788"/>
      <c r="K167" s="789"/>
      <c r="L167" s="788"/>
      <c r="M167" s="789"/>
      <c r="N167" s="790"/>
      <c r="O167" s="729"/>
      <c r="P167" s="790"/>
      <c r="Q167" s="791"/>
      <c r="R167" s="792"/>
      <c r="S167" s="789"/>
      <c r="T167" s="711"/>
      <c r="U167" s="732">
        <f t="shared" si="153"/>
        <v>0</v>
      </c>
      <c r="V167" s="733">
        <f t="shared" si="154"/>
        <v>0</v>
      </c>
      <c r="W167" s="710"/>
      <c r="X167" s="711"/>
      <c r="Y167" s="732">
        <f t="shared" si="100"/>
        <v>0</v>
      </c>
      <c r="Z167" s="733">
        <f t="shared" si="101"/>
        <v>0</v>
      </c>
      <c r="AA167" s="710"/>
      <c r="AB167" s="711"/>
      <c r="AC167" s="732">
        <f t="shared" si="102"/>
        <v>0</v>
      </c>
      <c r="AD167" s="733">
        <f t="shared" si="103"/>
        <v>0</v>
      </c>
      <c r="AE167" s="712"/>
      <c r="AF167" s="711"/>
      <c r="AG167" s="732">
        <f t="shared" si="104"/>
        <v>0</v>
      </c>
      <c r="AH167" s="733">
        <f t="shared" si="105"/>
        <v>0</v>
      </c>
      <c r="AI167" s="712"/>
      <c r="AJ167" s="708"/>
      <c r="AK167" s="733">
        <f t="shared" si="106"/>
        <v>0</v>
      </c>
      <c r="AL167" s="713"/>
    </row>
    <row r="168" spans="2:38" s="527" customFormat="1" outlineLevel="1">
      <c r="B168" s="699">
        <f>'Master BOQ Pricing_2018-01-08'!B168</f>
        <v>9.08</v>
      </c>
      <c r="C168" s="700" t="str">
        <f>'Master BOQ Pricing_2018-01-08'!C168</f>
        <v>Supply and Label ODF and Cables</v>
      </c>
      <c r="D168" s="727" t="str">
        <f>'Master BOQ Pricing_2018-01-08'!D168</f>
        <v>ea</v>
      </c>
      <c r="E168" s="702">
        <f>'Master BOQ Pricing_2018-01-08'!E168</f>
        <v>90.91</v>
      </c>
      <c r="F168" s="786"/>
      <c r="G168" s="729"/>
      <c r="H168" s="728"/>
      <c r="I168" s="729"/>
      <c r="J168" s="788"/>
      <c r="K168" s="789"/>
      <c r="L168" s="788"/>
      <c r="M168" s="789"/>
      <c r="N168" s="766"/>
      <c r="O168" s="704">
        <f>+N168*$E168</f>
        <v>0</v>
      </c>
      <c r="P168" s="790"/>
      <c r="Q168" s="791"/>
      <c r="R168" s="792"/>
      <c r="S168" s="789"/>
      <c r="T168" s="711"/>
      <c r="U168" s="732">
        <f>T168+N168</f>
        <v>0</v>
      </c>
      <c r="V168" s="733">
        <f t="shared" ref="V168" si="155">U168*E168</f>
        <v>0</v>
      </c>
      <c r="W168" s="710"/>
      <c r="X168" s="711"/>
      <c r="Y168" s="732">
        <f t="shared" ref="Y168" si="156">X168+U168</f>
        <v>0</v>
      </c>
      <c r="Z168" s="733">
        <f t="shared" ref="Z168" si="157">Y168*E168</f>
        <v>0</v>
      </c>
      <c r="AA168" s="710"/>
      <c r="AB168" s="711"/>
      <c r="AC168" s="732">
        <f t="shared" ref="AC168" si="158">AB168+Y168</f>
        <v>0</v>
      </c>
      <c r="AD168" s="733">
        <f t="shared" ref="AD168" si="159">AC168*E168</f>
        <v>0</v>
      </c>
      <c r="AE168" s="712"/>
      <c r="AF168" s="711"/>
      <c r="AG168" s="732">
        <f t="shared" ref="AG168" si="160">AF168+AC168</f>
        <v>0</v>
      </c>
      <c r="AH168" s="733">
        <f t="shared" ref="AH168" si="161">AG168*E168</f>
        <v>0</v>
      </c>
      <c r="AI168" s="712"/>
      <c r="AJ168" s="708"/>
      <c r="AK168" s="733">
        <f t="shared" ref="AK168" si="162">AJ168*E168</f>
        <v>0</v>
      </c>
      <c r="AL168" s="713"/>
    </row>
    <row r="169" spans="2:38" s="527" customFormat="1" ht="27.6">
      <c r="B169" s="741">
        <f>'Master BOQ Pricing_2018-01-08'!B169</f>
        <v>10</v>
      </c>
      <c r="C169" s="742" t="str">
        <f>'Master BOQ Pricing_2018-01-08'!C169</f>
        <v>FIBRE TERMINATION (JOINTING / SPLICE OF FIBRE IN MANHOLES  OPTIVAL DISTRIBUTION FRAMES AND PATCH PANELS)</v>
      </c>
      <c r="D169" s="764"/>
      <c r="E169" s="765"/>
      <c r="F169" s="793"/>
      <c r="G169" s="726"/>
      <c r="H169" s="794"/>
      <c r="I169" s="726"/>
      <c r="J169" s="794"/>
      <c r="K169" s="726"/>
      <c r="L169" s="794"/>
      <c r="M169" s="726"/>
      <c r="N169" s="795"/>
      <c r="O169" s="746">
        <f>SUBTOTAL(9,O170:O170)</f>
        <v>0</v>
      </c>
      <c r="P169" s="795"/>
      <c r="Q169" s="796"/>
      <c r="R169" s="797"/>
      <c r="S169" s="798">
        <f>SUBTOTAL(9,S171:S173)</f>
        <v>170</v>
      </c>
      <c r="T169" s="799"/>
      <c r="U169" s="800"/>
      <c r="V169" s="801"/>
      <c r="W169" s="802"/>
      <c r="X169" s="799"/>
      <c r="Y169" s="755"/>
      <c r="Z169" s="756"/>
      <c r="AA169" s="757"/>
      <c r="AB169" s="758"/>
      <c r="AC169" s="755"/>
      <c r="AD169" s="756"/>
      <c r="AE169" s="759"/>
      <c r="AF169" s="758"/>
      <c r="AG169" s="755"/>
      <c r="AH169" s="756"/>
      <c r="AI169" s="759"/>
      <c r="AJ169" s="760"/>
      <c r="AK169" s="756"/>
      <c r="AL169" s="761"/>
    </row>
    <row r="170" spans="2:38" s="527" customFormat="1" outlineLevel="1">
      <c r="B170" s="699">
        <f>'Master BOQ Pricing_2018-01-08'!B170</f>
        <v>10.01</v>
      </c>
      <c r="C170" s="700" t="str">
        <f>'Master BOQ Pricing_2018-01-08'!C170</f>
        <v>Supply and Label ODF and Cables</v>
      </c>
      <c r="D170" s="727" t="str">
        <f>'Master BOQ Pricing_2018-01-08'!D170</f>
        <v>ea</v>
      </c>
      <c r="E170" s="702">
        <f>'Master BOQ Pricing_2018-01-08'!E170</f>
        <v>90.91</v>
      </c>
      <c r="F170" s="786"/>
      <c r="G170" s="789"/>
      <c r="H170" s="788"/>
      <c r="I170" s="789"/>
      <c r="J170" s="728"/>
      <c r="K170" s="729"/>
      <c r="L170" s="728"/>
      <c r="M170" s="729"/>
      <c r="N170" s="803"/>
      <c r="O170" s="704">
        <f>N170*E170</f>
        <v>0</v>
      </c>
      <c r="P170" s="767"/>
      <c r="Q170" s="768"/>
      <c r="R170" s="769"/>
      <c r="S170" s="729"/>
      <c r="T170" s="804"/>
      <c r="U170" s="805">
        <f>T170+N170</f>
        <v>0</v>
      </c>
      <c r="V170" s="806">
        <f>U170*E170</f>
        <v>0</v>
      </c>
      <c r="W170" s="710"/>
      <c r="X170" s="804"/>
      <c r="Y170" s="732">
        <f t="shared" si="100"/>
        <v>0</v>
      </c>
      <c r="Z170" s="733">
        <f t="shared" si="101"/>
        <v>0</v>
      </c>
      <c r="AA170" s="710"/>
      <c r="AB170" s="711"/>
      <c r="AC170" s="732">
        <f t="shared" si="102"/>
        <v>0</v>
      </c>
      <c r="AD170" s="733">
        <f t="shared" si="103"/>
        <v>0</v>
      </c>
      <c r="AE170" s="712"/>
      <c r="AF170" s="711"/>
      <c r="AG170" s="732">
        <f t="shared" si="104"/>
        <v>0</v>
      </c>
      <c r="AH170" s="733">
        <f t="shared" si="105"/>
        <v>0</v>
      </c>
      <c r="AI170" s="712"/>
      <c r="AJ170" s="708"/>
      <c r="AK170" s="733">
        <f t="shared" si="106"/>
        <v>0</v>
      </c>
      <c r="AL170" s="713"/>
    </row>
    <row r="171" spans="2:38" s="527" customFormat="1" outlineLevel="1">
      <c r="B171" s="699">
        <f>'Master BOQ Pricing_2018-01-08'!B171</f>
        <v>10.02</v>
      </c>
      <c r="C171" s="700" t="str">
        <f>'Master BOQ Pricing_2018-01-08'!C171</f>
        <v>Prepare and splice single fibre in existing patch panel  joint or ODF (per splice)</v>
      </c>
      <c r="D171" s="727" t="str">
        <f>'Master BOQ Pricing_2018-01-08'!D171</f>
        <v>ea</v>
      </c>
      <c r="E171" s="702">
        <f>'Master BOQ Pricing_2018-01-08'!E171</f>
        <v>85</v>
      </c>
      <c r="F171" s="786"/>
      <c r="G171" s="789"/>
      <c r="H171" s="788"/>
      <c r="I171" s="789"/>
      <c r="J171" s="728"/>
      <c r="K171" s="729"/>
      <c r="L171" s="728"/>
      <c r="M171" s="729"/>
      <c r="N171" s="767"/>
      <c r="O171" s="729"/>
      <c r="P171" s="767"/>
      <c r="Q171" s="768"/>
      <c r="R171" s="803">
        <v>2</v>
      </c>
      <c r="S171" s="704">
        <f t="shared" ref="S171:S173" si="163">R171*E171</f>
        <v>170</v>
      </c>
      <c r="T171" s="804"/>
      <c r="U171" s="805">
        <f t="shared" ref="U171:U173" si="164">T171+R171</f>
        <v>2</v>
      </c>
      <c r="V171" s="806">
        <f t="shared" ref="V171:V173" si="165">U171*E171</f>
        <v>170</v>
      </c>
      <c r="W171" s="710"/>
      <c r="X171" s="804"/>
      <c r="Y171" s="732">
        <f t="shared" si="100"/>
        <v>2</v>
      </c>
      <c r="Z171" s="733">
        <f t="shared" si="101"/>
        <v>170</v>
      </c>
      <c r="AA171" s="710"/>
      <c r="AB171" s="711"/>
      <c r="AC171" s="732">
        <f t="shared" si="102"/>
        <v>2</v>
      </c>
      <c r="AD171" s="733">
        <f t="shared" si="103"/>
        <v>170</v>
      </c>
      <c r="AE171" s="712"/>
      <c r="AF171" s="711"/>
      <c r="AG171" s="732">
        <f t="shared" si="104"/>
        <v>2</v>
      </c>
      <c r="AH171" s="733">
        <f t="shared" si="105"/>
        <v>170</v>
      </c>
      <c r="AI171" s="712"/>
      <c r="AJ171" s="708"/>
      <c r="AK171" s="733">
        <f t="shared" si="106"/>
        <v>0</v>
      </c>
      <c r="AL171" s="713"/>
    </row>
    <row r="172" spans="2:38" s="527" customFormat="1" outlineLevel="1">
      <c r="B172" s="699">
        <f>'Master BOQ Pricing_2018-01-08'!B172</f>
        <v>10.029999999999999</v>
      </c>
      <c r="C172" s="700" t="str">
        <f>'Master BOQ Pricing_2018-01-08'!C172</f>
        <v>Prepare cable ends and joint for splicing (Loop only)</v>
      </c>
      <c r="D172" s="727" t="str">
        <f>'Master BOQ Pricing_2018-01-08'!D172</f>
        <v>ea</v>
      </c>
      <c r="E172" s="702">
        <f>'Master BOQ Pricing_2018-01-08'!E172</f>
        <v>400</v>
      </c>
      <c r="F172" s="786"/>
      <c r="G172" s="789"/>
      <c r="H172" s="788"/>
      <c r="I172" s="789"/>
      <c r="J172" s="728"/>
      <c r="K172" s="729"/>
      <c r="L172" s="728"/>
      <c r="M172" s="729"/>
      <c r="N172" s="767"/>
      <c r="O172" s="729"/>
      <c r="P172" s="767"/>
      <c r="Q172" s="768"/>
      <c r="R172" s="803"/>
      <c r="S172" s="704">
        <f t="shared" si="163"/>
        <v>0</v>
      </c>
      <c r="T172" s="804"/>
      <c r="U172" s="805">
        <f t="shared" si="164"/>
        <v>0</v>
      </c>
      <c r="V172" s="806">
        <f t="shared" si="165"/>
        <v>0</v>
      </c>
      <c r="W172" s="807"/>
      <c r="X172" s="804"/>
      <c r="Y172" s="732">
        <f t="shared" si="100"/>
        <v>0</v>
      </c>
      <c r="Z172" s="733">
        <f t="shared" si="101"/>
        <v>0</v>
      </c>
      <c r="AA172" s="710"/>
      <c r="AB172" s="711"/>
      <c r="AC172" s="732">
        <f t="shared" si="102"/>
        <v>0</v>
      </c>
      <c r="AD172" s="733">
        <f t="shared" si="103"/>
        <v>0</v>
      </c>
      <c r="AE172" s="712"/>
      <c r="AF172" s="711"/>
      <c r="AG172" s="732">
        <f t="shared" si="104"/>
        <v>0</v>
      </c>
      <c r="AH172" s="733">
        <f t="shared" si="105"/>
        <v>0</v>
      </c>
      <c r="AI172" s="712"/>
      <c r="AJ172" s="708"/>
      <c r="AK172" s="733">
        <f t="shared" si="106"/>
        <v>0</v>
      </c>
      <c r="AL172" s="713"/>
    </row>
    <row r="173" spans="2:38" s="527" customFormat="1" outlineLevel="1">
      <c r="B173" s="699">
        <f>'Master BOQ Pricing_2018-01-08'!B173</f>
        <v>10.039999999999999</v>
      </c>
      <c r="C173" s="700" t="str">
        <f>'Master BOQ Pricing_2018-01-08'!C173</f>
        <v>Prepare and Install Patch Panel/FMT including the preparation of splitters</v>
      </c>
      <c r="D173" s="727" t="str">
        <f>'Master BOQ Pricing_2018-01-08'!D173</f>
        <v>ea</v>
      </c>
      <c r="E173" s="702">
        <f>'Master BOQ Pricing_2018-01-08'!E173</f>
        <v>400</v>
      </c>
      <c r="F173" s="786"/>
      <c r="G173" s="789"/>
      <c r="H173" s="788"/>
      <c r="I173" s="789"/>
      <c r="J173" s="728"/>
      <c r="K173" s="729"/>
      <c r="L173" s="728"/>
      <c r="M173" s="729"/>
      <c r="N173" s="767"/>
      <c r="O173" s="729"/>
      <c r="P173" s="767"/>
      <c r="Q173" s="768"/>
      <c r="R173" s="803"/>
      <c r="S173" s="704">
        <f t="shared" si="163"/>
        <v>0</v>
      </c>
      <c r="T173" s="804"/>
      <c r="U173" s="805">
        <f t="shared" si="164"/>
        <v>0</v>
      </c>
      <c r="V173" s="806">
        <f t="shared" si="165"/>
        <v>0</v>
      </c>
      <c r="W173" s="807"/>
      <c r="X173" s="804"/>
      <c r="Y173" s="732">
        <f t="shared" si="100"/>
        <v>0</v>
      </c>
      <c r="Z173" s="733">
        <f t="shared" si="101"/>
        <v>0</v>
      </c>
      <c r="AA173" s="710"/>
      <c r="AB173" s="711"/>
      <c r="AC173" s="732">
        <f t="shared" si="102"/>
        <v>0</v>
      </c>
      <c r="AD173" s="733">
        <f t="shared" si="103"/>
        <v>0</v>
      </c>
      <c r="AE173" s="712"/>
      <c r="AF173" s="711"/>
      <c r="AG173" s="732">
        <f t="shared" si="104"/>
        <v>0</v>
      </c>
      <c r="AH173" s="733">
        <f t="shared" si="105"/>
        <v>0</v>
      </c>
      <c r="AI173" s="712"/>
      <c r="AJ173" s="708"/>
      <c r="AK173" s="733">
        <f t="shared" si="106"/>
        <v>0</v>
      </c>
      <c r="AL173" s="713"/>
    </row>
    <row r="174" spans="2:38" s="527" customFormat="1">
      <c r="B174" s="741">
        <f>'Master BOQ Pricing_2018-01-08'!B174</f>
        <v>11</v>
      </c>
      <c r="C174" s="742" t="str">
        <f>'Master BOQ Pricing_2018-01-08'!C174</f>
        <v>FIBRE CABLE TEST PER STRAND AND ACCESSORIES</v>
      </c>
      <c r="D174" s="764"/>
      <c r="E174" s="765"/>
      <c r="F174" s="745"/>
      <c r="G174" s="748"/>
      <c r="H174" s="747"/>
      <c r="I174" s="748"/>
      <c r="J174" s="747"/>
      <c r="K174" s="748"/>
      <c r="L174" s="747"/>
      <c r="M174" s="748"/>
      <c r="N174" s="808"/>
      <c r="O174" s="746">
        <f>SUBTOTAL(9,O175:O176,O179)</f>
        <v>0</v>
      </c>
      <c r="P174" s="808"/>
      <c r="Q174" s="809"/>
      <c r="R174" s="810"/>
      <c r="S174" s="798">
        <f>SUBTOTAL(9,S177:S178)</f>
        <v>45</v>
      </c>
      <c r="T174" s="751"/>
      <c r="U174" s="752"/>
      <c r="V174" s="753"/>
      <c r="W174" s="754"/>
      <c r="X174" s="751"/>
      <c r="Y174" s="755"/>
      <c r="Z174" s="756"/>
      <c r="AA174" s="757"/>
      <c r="AB174" s="758"/>
      <c r="AC174" s="755"/>
      <c r="AD174" s="756"/>
      <c r="AE174" s="759"/>
      <c r="AF174" s="758"/>
      <c r="AG174" s="755"/>
      <c r="AH174" s="756"/>
      <c r="AI174" s="759"/>
      <c r="AJ174" s="760"/>
      <c r="AK174" s="756"/>
      <c r="AL174" s="761"/>
    </row>
    <row r="175" spans="2:38" s="527" customFormat="1" outlineLevel="1">
      <c r="B175" s="699">
        <f>'Master BOQ Pricing_2018-01-08'!B175</f>
        <v>11.01</v>
      </c>
      <c r="C175" s="700" t="str">
        <f>'Master BOQ Pricing_2018-01-08'!C175</f>
        <v xml:space="preserve">Pre haul optic fibre cable test (per fibre) </v>
      </c>
      <c r="D175" s="727" t="str">
        <f>'Master BOQ Pricing_2018-01-08'!D175</f>
        <v>ea</v>
      </c>
      <c r="E175" s="702">
        <f>'Master BOQ Pricing_2018-01-08'!E175</f>
        <v>12</v>
      </c>
      <c r="F175" s="786"/>
      <c r="G175" s="729"/>
      <c r="H175" s="728"/>
      <c r="I175" s="729"/>
      <c r="J175" s="728"/>
      <c r="K175" s="729"/>
      <c r="L175" s="728"/>
      <c r="M175" s="729"/>
      <c r="N175" s="766"/>
      <c r="O175" s="704">
        <f t="shared" ref="O175:O179" si="166">+N175*$E175</f>
        <v>0</v>
      </c>
      <c r="P175" s="767"/>
      <c r="Q175" s="768"/>
      <c r="R175" s="769"/>
      <c r="S175" s="729"/>
      <c r="T175" s="711"/>
      <c r="U175" s="732">
        <f>T175+N175</f>
        <v>0</v>
      </c>
      <c r="V175" s="733">
        <f>U175*E175</f>
        <v>0</v>
      </c>
      <c r="W175" s="710"/>
      <c r="X175" s="711"/>
      <c r="Y175" s="732">
        <f t="shared" si="100"/>
        <v>0</v>
      </c>
      <c r="Z175" s="733">
        <f t="shared" si="101"/>
        <v>0</v>
      </c>
      <c r="AA175" s="710"/>
      <c r="AB175" s="711"/>
      <c r="AC175" s="732">
        <f t="shared" si="102"/>
        <v>0</v>
      </c>
      <c r="AD175" s="733">
        <f t="shared" si="103"/>
        <v>0</v>
      </c>
      <c r="AE175" s="712"/>
      <c r="AF175" s="711"/>
      <c r="AG175" s="732">
        <f t="shared" si="104"/>
        <v>0</v>
      </c>
      <c r="AH175" s="733">
        <f t="shared" si="105"/>
        <v>0</v>
      </c>
      <c r="AI175" s="712"/>
      <c r="AJ175" s="708"/>
      <c r="AK175" s="733">
        <f t="shared" si="106"/>
        <v>0</v>
      </c>
      <c r="AL175" s="713"/>
    </row>
    <row r="176" spans="2:38" s="527" customFormat="1" outlineLevel="1">
      <c r="B176" s="699">
        <f>'Master BOQ Pricing_2018-01-08'!B176</f>
        <v>11.02</v>
      </c>
      <c r="C176" s="700" t="str">
        <f>'Master BOQ Pricing_2018-01-08'!C176</f>
        <v xml:space="preserve">Post haul optic fibre cable test (per fibre) </v>
      </c>
      <c r="D176" s="727" t="str">
        <f>'Master BOQ Pricing_2018-01-08'!D176</f>
        <v>ea</v>
      </c>
      <c r="E176" s="702">
        <f>'Master BOQ Pricing_2018-01-08'!E176</f>
        <v>15</v>
      </c>
      <c r="F176" s="786"/>
      <c r="G176" s="729"/>
      <c r="H176" s="728"/>
      <c r="I176" s="729"/>
      <c r="J176" s="728"/>
      <c r="K176" s="729"/>
      <c r="L176" s="728"/>
      <c r="M176" s="729"/>
      <c r="N176" s="766"/>
      <c r="O176" s="704">
        <f t="shared" ref="O176" si="167">+N176*$E176</f>
        <v>0</v>
      </c>
      <c r="P176" s="767"/>
      <c r="Q176" s="768"/>
      <c r="R176" s="769"/>
      <c r="S176" s="729"/>
      <c r="T176" s="711"/>
      <c r="U176" s="732">
        <f>T176+N176</f>
        <v>0</v>
      </c>
      <c r="V176" s="733">
        <f>U176*E176</f>
        <v>0</v>
      </c>
      <c r="W176" s="710"/>
      <c r="X176" s="711"/>
      <c r="Y176" s="732">
        <f>X176+U176</f>
        <v>0</v>
      </c>
      <c r="Z176" s="733">
        <f t="shared" si="101"/>
        <v>0</v>
      </c>
      <c r="AA176" s="710"/>
      <c r="AB176" s="711"/>
      <c r="AC176" s="732">
        <f>AB176+Y176</f>
        <v>0</v>
      </c>
      <c r="AD176" s="733">
        <f t="shared" si="103"/>
        <v>0</v>
      </c>
      <c r="AE176" s="712"/>
      <c r="AF176" s="711"/>
      <c r="AG176" s="732">
        <f>AF176+AC176</f>
        <v>0</v>
      </c>
      <c r="AH176" s="733">
        <f t="shared" si="105"/>
        <v>0</v>
      </c>
      <c r="AI176" s="712"/>
      <c r="AJ176" s="708"/>
      <c r="AK176" s="733">
        <f>AJ176*E176</f>
        <v>0</v>
      </c>
      <c r="AL176" s="713"/>
    </row>
    <row r="177" spans="2:38" s="527" customFormat="1" outlineLevel="1">
      <c r="B177" s="699">
        <f>'Master BOQ Pricing_2018-01-08'!B177</f>
        <v>11.03</v>
      </c>
      <c r="C177" s="700" t="str">
        <f>'Master BOQ Pricing_2018-01-08'!C177</f>
        <v>Relay section test bi-directional OTDR including report</v>
      </c>
      <c r="D177" s="727" t="str">
        <f>'Master BOQ Pricing_2018-01-08'!D177</f>
        <v>ea</v>
      </c>
      <c r="E177" s="702">
        <f>'Master BOQ Pricing_2018-01-08'!E177</f>
        <v>25</v>
      </c>
      <c r="F177" s="786"/>
      <c r="G177" s="729"/>
      <c r="H177" s="728"/>
      <c r="I177" s="729"/>
      <c r="J177" s="728"/>
      <c r="K177" s="729"/>
      <c r="L177" s="728"/>
      <c r="M177" s="729"/>
      <c r="N177" s="767"/>
      <c r="O177" s="729"/>
      <c r="P177" s="728"/>
      <c r="Q177" s="730"/>
      <c r="R177" s="711">
        <v>1</v>
      </c>
      <c r="S177" s="704">
        <f t="shared" ref="S177:S178" si="168">+R177*$E177</f>
        <v>25</v>
      </c>
      <c r="T177" s="711"/>
      <c r="U177" s="732">
        <f>T177+R177</f>
        <v>1</v>
      </c>
      <c r="V177" s="733">
        <f t="shared" ref="V177:V179" si="169">U177*E177</f>
        <v>25</v>
      </c>
      <c r="W177" s="710"/>
      <c r="X177" s="711"/>
      <c r="Y177" s="732">
        <f t="shared" si="100"/>
        <v>1</v>
      </c>
      <c r="Z177" s="733">
        <f t="shared" si="101"/>
        <v>25</v>
      </c>
      <c r="AA177" s="710"/>
      <c r="AB177" s="711"/>
      <c r="AC177" s="732">
        <f t="shared" si="102"/>
        <v>1</v>
      </c>
      <c r="AD177" s="733">
        <f t="shared" si="103"/>
        <v>25</v>
      </c>
      <c r="AE177" s="712"/>
      <c r="AF177" s="711"/>
      <c r="AG177" s="732">
        <f t="shared" si="104"/>
        <v>1</v>
      </c>
      <c r="AH177" s="733">
        <f t="shared" si="105"/>
        <v>25</v>
      </c>
      <c r="AI177" s="712"/>
      <c r="AJ177" s="708"/>
      <c r="AK177" s="733">
        <f t="shared" si="106"/>
        <v>0</v>
      </c>
      <c r="AL177" s="713"/>
    </row>
    <row r="178" spans="2:38" s="527" customFormat="1" outlineLevel="1">
      <c r="B178" s="699">
        <f>'Master BOQ Pricing_2018-01-08'!B178</f>
        <v>11.04</v>
      </c>
      <c r="C178" s="700" t="str">
        <f>'Master BOQ Pricing_2018-01-08'!C178</f>
        <v>Relay section test- Bi-directional Power And Light source testing and fibre verification including report</v>
      </c>
      <c r="D178" s="727" t="str">
        <f>'Master BOQ Pricing_2018-01-08'!D178</f>
        <v>ea</v>
      </c>
      <c r="E178" s="702">
        <f>'Master BOQ Pricing_2018-01-08'!E178</f>
        <v>20</v>
      </c>
      <c r="F178" s="786"/>
      <c r="G178" s="729"/>
      <c r="H178" s="728"/>
      <c r="I178" s="729"/>
      <c r="J178" s="728"/>
      <c r="K178" s="729"/>
      <c r="L178" s="728"/>
      <c r="M178" s="729"/>
      <c r="N178" s="767"/>
      <c r="O178" s="729"/>
      <c r="P178" s="728"/>
      <c r="Q178" s="730"/>
      <c r="R178" s="711">
        <v>1</v>
      </c>
      <c r="S178" s="704">
        <f t="shared" si="168"/>
        <v>20</v>
      </c>
      <c r="T178" s="711"/>
      <c r="U178" s="732">
        <f>T178+R178</f>
        <v>1</v>
      </c>
      <c r="V178" s="733">
        <f t="shared" si="169"/>
        <v>20</v>
      </c>
      <c r="W178" s="710"/>
      <c r="X178" s="711"/>
      <c r="Y178" s="732">
        <f t="shared" si="100"/>
        <v>1</v>
      </c>
      <c r="Z178" s="733">
        <f t="shared" si="101"/>
        <v>20</v>
      </c>
      <c r="AA178" s="710"/>
      <c r="AB178" s="711"/>
      <c r="AC178" s="732">
        <f t="shared" si="102"/>
        <v>1</v>
      </c>
      <c r="AD178" s="733">
        <f t="shared" si="103"/>
        <v>20</v>
      </c>
      <c r="AE178" s="712"/>
      <c r="AF178" s="711"/>
      <c r="AG178" s="732">
        <f t="shared" si="104"/>
        <v>1</v>
      </c>
      <c r="AH178" s="733">
        <f t="shared" si="105"/>
        <v>20</v>
      </c>
      <c r="AI178" s="712"/>
      <c r="AJ178" s="708"/>
      <c r="AK178" s="733">
        <f t="shared" si="106"/>
        <v>0</v>
      </c>
      <c r="AL178" s="713"/>
    </row>
    <row r="179" spans="2:38" s="527" customFormat="1" outlineLevel="1">
      <c r="B179" s="699">
        <f>'Master BOQ Pricing_2018-01-08'!B179</f>
        <v>11.05</v>
      </c>
      <c r="C179" s="700" t="str">
        <f>'Master BOQ Pricing_2018-01-08'!C179</f>
        <v>Call Out fee per hour</v>
      </c>
      <c r="D179" s="727" t="str">
        <f>'Master BOQ Pricing_2018-01-08'!D179</f>
        <v>ea</v>
      </c>
      <c r="E179" s="702">
        <f>'Master BOQ Pricing_2018-01-08'!E179</f>
        <v>350</v>
      </c>
      <c r="F179" s="786"/>
      <c r="G179" s="729"/>
      <c r="H179" s="728"/>
      <c r="I179" s="729"/>
      <c r="J179" s="728"/>
      <c r="K179" s="729"/>
      <c r="L179" s="728"/>
      <c r="M179" s="729"/>
      <c r="N179" s="711"/>
      <c r="O179" s="704">
        <f t="shared" si="166"/>
        <v>0</v>
      </c>
      <c r="P179" s="728"/>
      <c r="Q179" s="730"/>
      <c r="R179" s="731"/>
      <c r="S179" s="729"/>
      <c r="T179" s="711"/>
      <c r="U179" s="732">
        <f t="shared" ref="U179" si="170">T179+N179</f>
        <v>0</v>
      </c>
      <c r="V179" s="733">
        <f t="shared" si="169"/>
        <v>0</v>
      </c>
      <c r="W179" s="710"/>
      <c r="X179" s="711"/>
      <c r="Y179" s="732">
        <f t="shared" si="100"/>
        <v>0</v>
      </c>
      <c r="Z179" s="733">
        <f t="shared" si="101"/>
        <v>0</v>
      </c>
      <c r="AA179" s="710"/>
      <c r="AB179" s="711"/>
      <c r="AC179" s="732">
        <f t="shared" si="102"/>
        <v>0</v>
      </c>
      <c r="AD179" s="733">
        <f t="shared" si="103"/>
        <v>0</v>
      </c>
      <c r="AE179" s="712"/>
      <c r="AF179" s="711"/>
      <c r="AG179" s="732">
        <f t="shared" si="104"/>
        <v>0</v>
      </c>
      <c r="AH179" s="733">
        <f t="shared" si="105"/>
        <v>0</v>
      </c>
      <c r="AI179" s="712"/>
      <c r="AJ179" s="708"/>
      <c r="AK179" s="733">
        <f t="shared" si="106"/>
        <v>0</v>
      </c>
      <c r="AL179" s="713"/>
    </row>
    <row r="180" spans="2:38" s="527" customFormat="1">
      <c r="B180" s="741">
        <f>'Master BOQ Pricing_2018-01-08'!B180</f>
        <v>12</v>
      </c>
      <c r="C180" s="742" t="str">
        <f>'Master BOQ Pricing_2018-01-08'!C180</f>
        <v>FOCUS INSTALLATIONS</v>
      </c>
      <c r="D180" s="764"/>
      <c r="E180" s="765"/>
      <c r="F180" s="811"/>
      <c r="G180" s="746">
        <f>SUBTOTAL(9,G181)</f>
        <v>0</v>
      </c>
      <c r="H180" s="776"/>
      <c r="I180" s="746">
        <f>SUBTOTAL(9,I192:I195)</f>
        <v>0</v>
      </c>
      <c r="J180" s="776"/>
      <c r="K180" s="775"/>
      <c r="L180" s="776"/>
      <c r="M180" s="775"/>
      <c r="N180" s="776"/>
      <c r="O180" s="775"/>
      <c r="P180" s="776"/>
      <c r="Q180" s="746">
        <f>SUBTOTAL(9,Q182:Q191)</f>
        <v>0</v>
      </c>
      <c r="R180" s="778"/>
      <c r="S180" s="775"/>
      <c r="T180" s="779"/>
      <c r="U180" s="780"/>
      <c r="V180" s="781"/>
      <c r="W180" s="782"/>
      <c r="X180" s="779"/>
      <c r="Y180" s="755"/>
      <c r="Z180" s="756"/>
      <c r="AA180" s="757"/>
      <c r="AB180" s="758"/>
      <c r="AC180" s="755"/>
      <c r="AD180" s="756"/>
      <c r="AE180" s="759"/>
      <c r="AF180" s="758"/>
      <c r="AG180" s="755"/>
      <c r="AH180" s="756"/>
      <c r="AI180" s="759"/>
      <c r="AJ180" s="760"/>
      <c r="AK180" s="756"/>
      <c r="AL180" s="761"/>
    </row>
    <row r="181" spans="2:38" s="527" customFormat="1" outlineLevel="1">
      <c r="B181" s="699">
        <f>'Master BOQ Pricing_2018-01-08'!B181</f>
        <v>12.01</v>
      </c>
      <c r="C181" s="700" t="str">
        <f>'Master BOQ Pricing_2018-01-08'!C181</f>
        <v>Sewer Manhole Wall Core drilling -120mm</v>
      </c>
      <c r="D181" s="727" t="str">
        <f>'Master BOQ Pricing_2018-01-08'!D181</f>
        <v>ea</v>
      </c>
      <c r="E181" s="702">
        <f>'Master BOQ Pricing_2018-01-08'!E181</f>
        <v>145.35</v>
      </c>
      <c r="F181" s="888">
        <f>P183+P184</f>
        <v>0</v>
      </c>
      <c r="G181" s="813"/>
      <c r="H181" s="728"/>
      <c r="I181" s="729"/>
      <c r="J181" s="728"/>
      <c r="K181" s="729"/>
      <c r="L181" s="728"/>
      <c r="M181" s="729"/>
      <c r="N181" s="728"/>
      <c r="O181" s="729"/>
      <c r="P181" s="728"/>
      <c r="Q181" s="729"/>
      <c r="R181" s="769"/>
      <c r="S181" s="729"/>
      <c r="T181" s="711"/>
      <c r="U181" s="732">
        <f>T181+P181</f>
        <v>0</v>
      </c>
      <c r="V181" s="733">
        <f>U181*E181</f>
        <v>0</v>
      </c>
      <c r="W181" s="710"/>
      <c r="X181" s="711"/>
      <c r="Y181" s="732">
        <f t="shared" ref="Y181:Y239" si="171">X181+U181</f>
        <v>0</v>
      </c>
      <c r="Z181" s="733">
        <f t="shared" ref="Z181:Z239" si="172">Y181*E181</f>
        <v>0</v>
      </c>
      <c r="AA181" s="710"/>
      <c r="AB181" s="711"/>
      <c r="AC181" s="732">
        <f t="shared" ref="AC181:AC239" si="173">AB181+Y181</f>
        <v>0</v>
      </c>
      <c r="AD181" s="733">
        <f t="shared" ref="AD181:AD239" si="174">AC181*E181</f>
        <v>0</v>
      </c>
      <c r="AE181" s="712"/>
      <c r="AF181" s="711"/>
      <c r="AG181" s="732">
        <f t="shared" ref="AG181:AG239" si="175">AF181+AC181</f>
        <v>0</v>
      </c>
      <c r="AH181" s="733">
        <f t="shared" ref="AH181:AH239" si="176">AG181*E181</f>
        <v>0</v>
      </c>
      <c r="AI181" s="712"/>
      <c r="AJ181" s="708"/>
      <c r="AK181" s="733">
        <f>AJ181*E181</f>
        <v>0</v>
      </c>
      <c r="AL181" s="713"/>
    </row>
    <row r="182" spans="2:38" s="527" customFormat="1" outlineLevel="1">
      <c r="B182" s="699">
        <f>'Master BOQ Pricing_2018-01-08'!B182</f>
        <v>12.02</v>
      </c>
      <c r="C182" s="700" t="str">
        <f>'Master BOQ Pricing_2018-01-08'!C182</f>
        <v>Installation and pulling/Hauling of fibre optical cable (FOCUS)</v>
      </c>
      <c r="D182" s="727" t="str">
        <f>'Master BOQ Pricing_2018-01-08'!D182</f>
        <v>m</v>
      </c>
      <c r="E182" s="702">
        <f>'Master BOQ Pricing_2018-01-08'!E182</f>
        <v>9.3699999999999992</v>
      </c>
      <c r="F182" s="786"/>
      <c r="G182" s="729"/>
      <c r="H182" s="728"/>
      <c r="I182" s="729"/>
      <c r="J182" s="728"/>
      <c r="K182" s="729"/>
      <c r="L182" s="728"/>
      <c r="M182" s="729"/>
      <c r="N182" s="728"/>
      <c r="O182" s="729"/>
      <c r="P182" s="766"/>
      <c r="Q182" s="814">
        <f t="shared" ref="Q182" si="177">P182*E182</f>
        <v>0</v>
      </c>
      <c r="R182" s="769"/>
      <c r="S182" s="729"/>
      <c r="T182" s="711"/>
      <c r="U182" s="732">
        <f>T182+P182</f>
        <v>0</v>
      </c>
      <c r="V182" s="733">
        <f>U182*E182</f>
        <v>0</v>
      </c>
      <c r="W182" s="710"/>
      <c r="X182" s="711"/>
      <c r="Y182" s="732">
        <f t="shared" si="171"/>
        <v>0</v>
      </c>
      <c r="Z182" s="733">
        <f t="shared" si="172"/>
        <v>0</v>
      </c>
      <c r="AA182" s="710"/>
      <c r="AB182" s="711"/>
      <c r="AC182" s="732">
        <f t="shared" si="173"/>
        <v>0</v>
      </c>
      <c r="AD182" s="733">
        <f t="shared" si="174"/>
        <v>0</v>
      </c>
      <c r="AE182" s="712"/>
      <c r="AF182" s="711"/>
      <c r="AG182" s="732">
        <f t="shared" si="175"/>
        <v>0</v>
      </c>
      <c r="AH182" s="733">
        <f t="shared" si="176"/>
        <v>0</v>
      </c>
      <c r="AI182" s="712"/>
      <c r="AJ182" s="708"/>
      <c r="AK182" s="733">
        <f t="shared" ref="AK182:AK239" si="178">AJ182*E182</f>
        <v>0</v>
      </c>
      <c r="AL182" s="713"/>
    </row>
    <row r="183" spans="2:38" s="527" customFormat="1" outlineLevel="1">
      <c r="B183" s="699">
        <f>'Master BOQ Pricing_2018-01-08'!B183</f>
        <v>12.03</v>
      </c>
      <c r="C183" s="700" t="str">
        <f>'Master BOQ Pricing_2018-01-08'!C183</f>
        <v>Installation of Entry and Exit manifold including clips</v>
      </c>
      <c r="D183" s="727" t="str">
        <f>'Master BOQ Pricing_2018-01-08'!D183</f>
        <v>ea</v>
      </c>
      <c r="E183" s="702">
        <f>'Master BOQ Pricing_2018-01-08'!E183</f>
        <v>946.8</v>
      </c>
      <c r="F183" s="786"/>
      <c r="G183" s="729"/>
      <c r="H183" s="728"/>
      <c r="I183" s="729"/>
      <c r="J183" s="728"/>
      <c r="K183" s="729"/>
      <c r="L183" s="728"/>
      <c r="M183" s="729"/>
      <c r="N183" s="728"/>
      <c r="O183" s="729"/>
      <c r="P183" s="770">
        <f>'FOCUS ANCILLARIES CALC'!J7</f>
        <v>0</v>
      </c>
      <c r="Q183" s="813">
        <f>P183*E183</f>
        <v>0</v>
      </c>
      <c r="R183" s="767"/>
      <c r="S183" s="617"/>
      <c r="T183" s="711"/>
      <c r="U183" s="732">
        <f>T183+P183</f>
        <v>0</v>
      </c>
      <c r="V183" s="733">
        <f>U183*E183</f>
        <v>0</v>
      </c>
      <c r="W183" s="710"/>
      <c r="X183" s="711"/>
      <c r="Y183" s="732">
        <f t="shared" si="171"/>
        <v>0</v>
      </c>
      <c r="Z183" s="733">
        <f t="shared" si="172"/>
        <v>0</v>
      </c>
      <c r="AA183" s="710"/>
      <c r="AB183" s="711"/>
      <c r="AC183" s="732">
        <f t="shared" si="173"/>
        <v>0</v>
      </c>
      <c r="AD183" s="733">
        <f t="shared" si="174"/>
        <v>0</v>
      </c>
      <c r="AE183" s="712"/>
      <c r="AF183" s="711"/>
      <c r="AG183" s="732">
        <f t="shared" si="175"/>
        <v>0</v>
      </c>
      <c r="AH183" s="733">
        <f t="shared" si="176"/>
        <v>0</v>
      </c>
      <c r="AI183" s="712"/>
      <c r="AJ183" s="708"/>
      <c r="AK183" s="733">
        <f t="shared" si="178"/>
        <v>0</v>
      </c>
      <c r="AL183" s="713"/>
    </row>
    <row r="184" spans="2:38" s="527" customFormat="1" outlineLevel="1">
      <c r="B184" s="699">
        <f>'Master BOQ Pricing_2018-01-08'!B184</f>
        <v>12.04</v>
      </c>
      <c r="C184" s="700" t="str">
        <f>'Master BOQ Pricing_2018-01-08'!C184</f>
        <v>Installation of Entry or Exit manifold including clips</v>
      </c>
      <c r="D184" s="727" t="str">
        <f>'Master BOQ Pricing_2018-01-08'!D184</f>
        <v>ea</v>
      </c>
      <c r="E184" s="702">
        <f>'Master BOQ Pricing_2018-01-08'!E184</f>
        <v>771.01</v>
      </c>
      <c r="F184" s="786"/>
      <c r="G184" s="729"/>
      <c r="H184" s="728"/>
      <c r="I184" s="729"/>
      <c r="J184" s="728"/>
      <c r="K184" s="729"/>
      <c r="L184" s="728"/>
      <c r="M184" s="729"/>
      <c r="N184" s="728"/>
      <c r="O184" s="729"/>
      <c r="P184" s="812">
        <f>'FOCUS ANCILLARIES CALC'!I7</f>
        <v>0</v>
      </c>
      <c r="Q184" s="814">
        <f t="shared" ref="Q184:Q191" si="179">P184*E184</f>
        <v>0</v>
      </c>
      <c r="R184" s="769"/>
      <c r="S184" s="729"/>
      <c r="T184" s="711"/>
      <c r="U184" s="732">
        <f t="shared" ref="U184:U185" si="180">T184+P184</f>
        <v>0</v>
      </c>
      <c r="V184" s="733">
        <f t="shared" ref="V184:V185" si="181">U184*E184</f>
        <v>0</v>
      </c>
      <c r="W184" s="710"/>
      <c r="X184" s="711"/>
      <c r="Y184" s="732">
        <f t="shared" si="171"/>
        <v>0</v>
      </c>
      <c r="Z184" s="733">
        <f t="shared" si="172"/>
        <v>0</v>
      </c>
      <c r="AA184" s="710"/>
      <c r="AB184" s="711"/>
      <c r="AC184" s="732">
        <f t="shared" si="173"/>
        <v>0</v>
      </c>
      <c r="AD184" s="733">
        <f t="shared" si="174"/>
        <v>0</v>
      </c>
      <c r="AE184" s="712"/>
      <c r="AF184" s="711"/>
      <c r="AG184" s="732">
        <f t="shared" si="175"/>
        <v>0</v>
      </c>
      <c r="AH184" s="733">
        <f t="shared" si="176"/>
        <v>0</v>
      </c>
      <c r="AI184" s="712"/>
      <c r="AJ184" s="708"/>
      <c r="AK184" s="733">
        <f t="shared" si="178"/>
        <v>0</v>
      </c>
      <c r="AL184" s="713"/>
    </row>
    <row r="185" spans="2:38" s="527" customFormat="1" outlineLevel="1">
      <c r="B185" s="699">
        <f>'Master BOQ Pricing_2018-01-08'!B185</f>
        <v>12.05</v>
      </c>
      <c r="C185" s="700" t="str">
        <f>'Master BOQ Pricing_2018-01-08'!C185</f>
        <v>Installation of Straight manifold</v>
      </c>
      <c r="D185" s="727" t="str">
        <f>'Master BOQ Pricing_2018-01-08'!D185</f>
        <v>ea</v>
      </c>
      <c r="E185" s="702">
        <f>'Master BOQ Pricing_2018-01-08'!E185</f>
        <v>682.35</v>
      </c>
      <c r="F185" s="786"/>
      <c r="G185" s="729"/>
      <c r="H185" s="728"/>
      <c r="I185" s="729"/>
      <c r="J185" s="728"/>
      <c r="K185" s="729"/>
      <c r="L185" s="728"/>
      <c r="M185" s="729"/>
      <c r="N185" s="728"/>
      <c r="O185" s="729"/>
      <c r="P185" s="812">
        <f>'FOCUS ANCILLARIES CALC'!K7</f>
        <v>0</v>
      </c>
      <c r="Q185" s="814">
        <f t="shared" si="179"/>
        <v>0</v>
      </c>
      <c r="R185" s="769"/>
      <c r="S185" s="729"/>
      <c r="T185" s="711"/>
      <c r="U185" s="732">
        <f t="shared" si="180"/>
        <v>0</v>
      </c>
      <c r="V185" s="733">
        <f t="shared" si="181"/>
        <v>0</v>
      </c>
      <c r="W185" s="710"/>
      <c r="X185" s="711"/>
      <c r="Y185" s="732">
        <f t="shared" si="171"/>
        <v>0</v>
      </c>
      <c r="Z185" s="733">
        <f t="shared" si="172"/>
        <v>0</v>
      </c>
      <c r="AA185" s="710"/>
      <c r="AB185" s="711"/>
      <c r="AC185" s="732">
        <f t="shared" si="173"/>
        <v>0</v>
      </c>
      <c r="AD185" s="733">
        <f t="shared" si="174"/>
        <v>0</v>
      </c>
      <c r="AE185" s="712"/>
      <c r="AF185" s="711"/>
      <c r="AG185" s="732">
        <f t="shared" si="175"/>
        <v>0</v>
      </c>
      <c r="AH185" s="733">
        <f t="shared" si="176"/>
        <v>0</v>
      </c>
      <c r="AI185" s="712"/>
      <c r="AJ185" s="708"/>
      <c r="AK185" s="733">
        <f t="shared" si="178"/>
        <v>0</v>
      </c>
      <c r="AL185" s="713"/>
    </row>
    <row r="186" spans="2:38" s="527" customFormat="1" outlineLevel="1">
      <c r="B186" s="699">
        <f>'Master BOQ Pricing_2018-01-08'!B186</f>
        <v>12.06</v>
      </c>
      <c r="C186" s="700" t="str">
        <f>'Master BOQ Pricing_2018-01-08'!C186</f>
        <v>Repair of Benching or Manhole Floor per manhole</v>
      </c>
      <c r="D186" s="727" t="str">
        <f>'Master BOQ Pricing_2018-01-08'!D186</f>
        <v>ea</v>
      </c>
      <c r="E186" s="702">
        <f>'Master BOQ Pricing_2018-01-08'!E186</f>
        <v>276</v>
      </c>
      <c r="F186" s="786"/>
      <c r="G186" s="729"/>
      <c r="H186" s="767"/>
      <c r="I186" s="729"/>
      <c r="J186" s="728"/>
      <c r="K186" s="729"/>
      <c r="L186" s="728"/>
      <c r="M186" s="729"/>
      <c r="N186" s="728"/>
      <c r="O186" s="729"/>
      <c r="P186" s="766"/>
      <c r="Q186" s="814">
        <f t="shared" si="179"/>
        <v>0</v>
      </c>
      <c r="R186" s="769"/>
      <c r="S186" s="729"/>
      <c r="T186" s="711"/>
      <c r="U186" s="732">
        <f>T186+P186</f>
        <v>0</v>
      </c>
      <c r="V186" s="733">
        <f>U186*E186</f>
        <v>0</v>
      </c>
      <c r="W186" s="710"/>
      <c r="X186" s="711"/>
      <c r="Y186" s="732">
        <f t="shared" si="171"/>
        <v>0</v>
      </c>
      <c r="Z186" s="733">
        <f t="shared" si="172"/>
        <v>0</v>
      </c>
      <c r="AA186" s="710"/>
      <c r="AB186" s="711"/>
      <c r="AC186" s="732">
        <f t="shared" si="173"/>
        <v>0</v>
      </c>
      <c r="AD186" s="733">
        <f t="shared" si="174"/>
        <v>0</v>
      </c>
      <c r="AE186" s="712"/>
      <c r="AF186" s="711"/>
      <c r="AG186" s="732">
        <f t="shared" si="175"/>
        <v>0</v>
      </c>
      <c r="AH186" s="733">
        <f t="shared" si="176"/>
        <v>0</v>
      </c>
      <c r="AI186" s="712"/>
      <c r="AJ186" s="708"/>
      <c r="AK186" s="733">
        <f t="shared" si="178"/>
        <v>0</v>
      </c>
      <c r="AL186" s="713"/>
    </row>
    <row r="187" spans="2:38" s="527" customFormat="1" outlineLevel="1">
      <c r="B187" s="699">
        <f>'Master BOQ Pricing_2018-01-08'!B187</f>
        <v>12.07</v>
      </c>
      <c r="C187" s="700" t="str">
        <f>'Master BOQ Pricing_2018-01-08'!C187</f>
        <v>Storm water Slot Cutting</v>
      </c>
      <c r="D187" s="727" t="str">
        <f>'Master BOQ Pricing_2018-01-08'!D187</f>
        <v>ea</v>
      </c>
      <c r="E187" s="702">
        <f>'Master BOQ Pricing_2018-01-08'!E187</f>
        <v>425.96</v>
      </c>
      <c r="F187" s="786"/>
      <c r="G187" s="729"/>
      <c r="H187" s="767"/>
      <c r="I187" s="729"/>
      <c r="J187" s="728"/>
      <c r="K187" s="729"/>
      <c r="L187" s="728"/>
      <c r="M187" s="729"/>
      <c r="N187" s="728"/>
      <c r="O187" s="729"/>
      <c r="P187" s="812">
        <f>'FOCUS ANCILLARIES CALC'!K19</f>
        <v>0</v>
      </c>
      <c r="Q187" s="814">
        <f t="shared" si="179"/>
        <v>0</v>
      </c>
      <c r="R187" s="769"/>
      <c r="S187" s="729"/>
      <c r="T187" s="711"/>
      <c r="U187" s="732">
        <f>T187+P187</f>
        <v>0</v>
      </c>
      <c r="V187" s="733">
        <f>U187*E187</f>
        <v>0</v>
      </c>
      <c r="W187" s="710"/>
      <c r="X187" s="711"/>
      <c r="Y187" s="732">
        <f t="shared" si="171"/>
        <v>0</v>
      </c>
      <c r="Z187" s="733">
        <f t="shared" si="172"/>
        <v>0</v>
      </c>
      <c r="AA187" s="710"/>
      <c r="AB187" s="711"/>
      <c r="AC187" s="732">
        <f t="shared" si="173"/>
        <v>0</v>
      </c>
      <c r="AD187" s="733">
        <f t="shared" si="174"/>
        <v>0</v>
      </c>
      <c r="AE187" s="712"/>
      <c r="AF187" s="711"/>
      <c r="AG187" s="732">
        <f t="shared" si="175"/>
        <v>0</v>
      </c>
      <c r="AH187" s="733">
        <f t="shared" si="176"/>
        <v>0</v>
      </c>
      <c r="AI187" s="712"/>
      <c r="AJ187" s="708"/>
      <c r="AK187" s="733">
        <f t="shared" si="178"/>
        <v>0</v>
      </c>
      <c r="AL187" s="713"/>
    </row>
    <row r="188" spans="2:38" s="527" customFormat="1" outlineLevel="1">
      <c r="B188" s="699">
        <f>'Master BOQ Pricing_2018-01-08'!B188</f>
        <v>12.08</v>
      </c>
      <c r="C188" s="700" t="str">
        <f>'Master BOQ Pricing_2018-01-08'!C188</f>
        <v>Installation of Storm Water Entry and Exit</v>
      </c>
      <c r="D188" s="727" t="str">
        <f>'Master BOQ Pricing_2018-01-08'!D188</f>
        <v>ea</v>
      </c>
      <c r="E188" s="702">
        <f>'Master BOQ Pricing_2018-01-08'!E188</f>
        <v>586.95000000000005</v>
      </c>
      <c r="F188" s="786"/>
      <c r="G188" s="729"/>
      <c r="H188" s="767"/>
      <c r="I188" s="729"/>
      <c r="J188" s="728"/>
      <c r="K188" s="729"/>
      <c r="L188" s="728"/>
      <c r="M188" s="729"/>
      <c r="N188" s="728"/>
      <c r="O188" s="729"/>
      <c r="P188" s="812">
        <f>'FOCUS ANCILLARIES CALC'!J19</f>
        <v>0</v>
      </c>
      <c r="Q188" s="814">
        <f t="shared" si="179"/>
        <v>0</v>
      </c>
      <c r="R188" s="769"/>
      <c r="S188" s="729"/>
      <c r="T188" s="711"/>
      <c r="U188" s="732">
        <f t="shared" ref="U188:U189" si="182">T188+P188</f>
        <v>0</v>
      </c>
      <c r="V188" s="733">
        <f t="shared" ref="V188:V189" si="183">U188*E188</f>
        <v>0</v>
      </c>
      <c r="W188" s="710"/>
      <c r="X188" s="711"/>
      <c r="Y188" s="732">
        <f t="shared" si="171"/>
        <v>0</v>
      </c>
      <c r="Z188" s="733">
        <f t="shared" si="172"/>
        <v>0</v>
      </c>
      <c r="AA188" s="710"/>
      <c r="AB188" s="711"/>
      <c r="AC188" s="732">
        <f t="shared" si="173"/>
        <v>0</v>
      </c>
      <c r="AD188" s="733">
        <f t="shared" si="174"/>
        <v>0</v>
      </c>
      <c r="AE188" s="712"/>
      <c r="AF188" s="711"/>
      <c r="AG188" s="732">
        <f t="shared" si="175"/>
        <v>0</v>
      </c>
      <c r="AH188" s="733">
        <f t="shared" si="176"/>
        <v>0</v>
      </c>
      <c r="AI188" s="712"/>
      <c r="AJ188" s="708"/>
      <c r="AK188" s="733">
        <f t="shared" si="178"/>
        <v>0</v>
      </c>
      <c r="AL188" s="713"/>
    </row>
    <row r="189" spans="2:38" s="527" customFormat="1" outlineLevel="1">
      <c r="B189" s="699">
        <f>'Master BOQ Pricing_2018-01-08'!B189</f>
        <v>12.09</v>
      </c>
      <c r="C189" s="700" t="str">
        <f>'Master BOQ Pricing_2018-01-08'!C189</f>
        <v>Installation of Storm Water Entry or Exit</v>
      </c>
      <c r="D189" s="727" t="str">
        <f>'Master BOQ Pricing_2018-01-08'!D189</f>
        <v>ea</v>
      </c>
      <c r="E189" s="702">
        <f>'Master BOQ Pricing_2018-01-08'!E189</f>
        <v>478</v>
      </c>
      <c r="F189" s="786"/>
      <c r="G189" s="729"/>
      <c r="H189" s="767"/>
      <c r="I189" s="729"/>
      <c r="J189" s="728"/>
      <c r="K189" s="729"/>
      <c r="L189" s="728"/>
      <c r="M189" s="729"/>
      <c r="N189" s="728"/>
      <c r="O189" s="729"/>
      <c r="P189" s="812">
        <f>'FOCUS ANCILLARIES CALC'!I19</f>
        <v>0</v>
      </c>
      <c r="Q189" s="814">
        <f t="shared" si="179"/>
        <v>0</v>
      </c>
      <c r="R189" s="769"/>
      <c r="S189" s="729"/>
      <c r="T189" s="711"/>
      <c r="U189" s="732">
        <f t="shared" si="182"/>
        <v>0</v>
      </c>
      <c r="V189" s="733">
        <f t="shared" si="183"/>
        <v>0</v>
      </c>
      <c r="W189" s="710"/>
      <c r="X189" s="711"/>
      <c r="Y189" s="732">
        <f t="shared" si="171"/>
        <v>0</v>
      </c>
      <c r="Z189" s="733">
        <f t="shared" si="172"/>
        <v>0</v>
      </c>
      <c r="AA189" s="710"/>
      <c r="AB189" s="711"/>
      <c r="AC189" s="732">
        <f t="shared" si="173"/>
        <v>0</v>
      </c>
      <c r="AD189" s="733">
        <f t="shared" si="174"/>
        <v>0</v>
      </c>
      <c r="AE189" s="712"/>
      <c r="AF189" s="711"/>
      <c r="AG189" s="732">
        <f t="shared" si="175"/>
        <v>0</v>
      </c>
      <c r="AH189" s="733">
        <f t="shared" si="176"/>
        <v>0</v>
      </c>
      <c r="AI189" s="712"/>
      <c r="AJ189" s="708"/>
      <c r="AK189" s="733">
        <f t="shared" si="178"/>
        <v>0</v>
      </c>
      <c r="AL189" s="713"/>
    </row>
    <row r="190" spans="2:38" s="527" customFormat="1" outlineLevel="1">
      <c r="B190" s="699">
        <f>'Master BOQ Pricing_2018-01-08'!B190</f>
        <v>12.1</v>
      </c>
      <c r="C190" s="700" t="str">
        <f>'Master BOQ Pricing_2018-01-08'!C190</f>
        <v>CCTV Survey Pre Installation</v>
      </c>
      <c r="D190" s="727" t="str">
        <f>'Master BOQ Pricing_2018-01-08'!D190</f>
        <v>m</v>
      </c>
      <c r="E190" s="702">
        <f>'Master BOQ Pricing_2018-01-08'!E190</f>
        <v>14.38</v>
      </c>
      <c r="F190" s="786"/>
      <c r="G190" s="729"/>
      <c r="H190" s="767"/>
      <c r="I190" s="729"/>
      <c r="J190" s="728"/>
      <c r="K190" s="729"/>
      <c r="L190" s="728"/>
      <c r="M190" s="729"/>
      <c r="N190" s="728"/>
      <c r="O190" s="729"/>
      <c r="P190" s="766"/>
      <c r="Q190" s="814">
        <f t="shared" si="179"/>
        <v>0</v>
      </c>
      <c r="R190" s="769"/>
      <c r="S190" s="729"/>
      <c r="T190" s="711"/>
      <c r="U190" s="732">
        <f t="shared" ref="U190:U191" si="184">T190+P190</f>
        <v>0</v>
      </c>
      <c r="V190" s="733">
        <f t="shared" ref="V190:V191" si="185">U190*E190</f>
        <v>0</v>
      </c>
      <c r="W190" s="710"/>
      <c r="X190" s="711"/>
      <c r="Y190" s="732">
        <f t="shared" si="171"/>
        <v>0</v>
      </c>
      <c r="Z190" s="733">
        <f t="shared" si="172"/>
        <v>0</v>
      </c>
      <c r="AA190" s="710"/>
      <c r="AB190" s="711"/>
      <c r="AC190" s="732">
        <f t="shared" si="173"/>
        <v>0</v>
      </c>
      <c r="AD190" s="733">
        <f t="shared" si="174"/>
        <v>0</v>
      </c>
      <c r="AE190" s="712"/>
      <c r="AF190" s="711"/>
      <c r="AG190" s="732">
        <f t="shared" si="175"/>
        <v>0</v>
      </c>
      <c r="AH190" s="733">
        <f t="shared" si="176"/>
        <v>0</v>
      </c>
      <c r="AI190" s="712"/>
      <c r="AJ190" s="708"/>
      <c r="AK190" s="733">
        <f t="shared" si="178"/>
        <v>0</v>
      </c>
      <c r="AL190" s="713"/>
    </row>
    <row r="191" spans="2:38" s="527" customFormat="1" outlineLevel="1">
      <c r="B191" s="699">
        <f>'Master BOQ Pricing_2018-01-08'!B191</f>
        <v>12.11</v>
      </c>
      <c r="C191" s="700" t="str">
        <f>'Master BOQ Pricing_2018-01-08'!C191</f>
        <v>CCTV Survey   Post Installation</v>
      </c>
      <c r="D191" s="727" t="str">
        <f>'Master BOQ Pricing_2018-01-08'!D191</f>
        <v>m</v>
      </c>
      <c r="E191" s="702">
        <f>'Master BOQ Pricing_2018-01-08'!E191</f>
        <v>11.5</v>
      </c>
      <c r="F191" s="786"/>
      <c r="G191" s="729"/>
      <c r="H191" s="767"/>
      <c r="I191" s="729"/>
      <c r="J191" s="728"/>
      <c r="K191" s="729"/>
      <c r="L191" s="728"/>
      <c r="M191" s="729"/>
      <c r="N191" s="728"/>
      <c r="O191" s="729"/>
      <c r="P191" s="711"/>
      <c r="Q191" s="814">
        <f t="shared" si="179"/>
        <v>0</v>
      </c>
      <c r="R191" s="731"/>
      <c r="S191" s="729"/>
      <c r="T191" s="711"/>
      <c r="U191" s="732">
        <f t="shared" si="184"/>
        <v>0</v>
      </c>
      <c r="V191" s="733">
        <f t="shared" si="185"/>
        <v>0</v>
      </c>
      <c r="W191" s="710"/>
      <c r="X191" s="711"/>
      <c r="Y191" s="732">
        <f t="shared" si="171"/>
        <v>0</v>
      </c>
      <c r="Z191" s="733">
        <f t="shared" si="172"/>
        <v>0</v>
      </c>
      <c r="AA191" s="710"/>
      <c r="AB191" s="711"/>
      <c r="AC191" s="732">
        <f t="shared" si="173"/>
        <v>0</v>
      </c>
      <c r="AD191" s="733">
        <f t="shared" si="174"/>
        <v>0</v>
      </c>
      <c r="AE191" s="712"/>
      <c r="AF191" s="711"/>
      <c r="AG191" s="732">
        <f t="shared" si="175"/>
        <v>0</v>
      </c>
      <c r="AH191" s="733">
        <f t="shared" si="176"/>
        <v>0</v>
      </c>
      <c r="AI191" s="712"/>
      <c r="AJ191" s="708"/>
      <c r="AK191" s="733">
        <f t="shared" si="178"/>
        <v>0</v>
      </c>
      <c r="AL191" s="713"/>
    </row>
    <row r="192" spans="2:38" s="527" customFormat="1" outlineLevel="1">
      <c r="B192" s="699">
        <f>'Master BOQ Pricing_2018-01-08'!B192</f>
        <v>12.12</v>
      </c>
      <c r="C192" s="700" t="str">
        <f>'Master BOQ Pricing_2018-01-08'!C192</f>
        <v xml:space="preserve">High Pressure Jetting -Sewer </v>
      </c>
      <c r="D192" s="727" t="str">
        <f>'Master BOQ Pricing_2018-01-08'!D192</f>
        <v>m</v>
      </c>
      <c r="E192" s="702">
        <f>'Master BOQ Pricing_2018-01-08'!E192</f>
        <v>25.88</v>
      </c>
      <c r="F192" s="786"/>
      <c r="G192" s="729"/>
      <c r="H192" s="766"/>
      <c r="I192" s="704">
        <f>H192*E192</f>
        <v>0</v>
      </c>
      <c r="J192" s="728"/>
      <c r="K192" s="729"/>
      <c r="L192" s="728"/>
      <c r="M192" s="729"/>
      <c r="N192" s="728"/>
      <c r="O192" s="729"/>
      <c r="P192" s="728"/>
      <c r="Q192" s="730"/>
      <c r="R192" s="731"/>
      <c r="S192" s="729"/>
      <c r="T192" s="711"/>
      <c r="U192" s="732">
        <f>T192+H192</f>
        <v>0</v>
      </c>
      <c r="V192" s="733">
        <f>U192*E192</f>
        <v>0</v>
      </c>
      <c r="W192" s="710"/>
      <c r="X192" s="711"/>
      <c r="Y192" s="732">
        <f t="shared" si="171"/>
        <v>0</v>
      </c>
      <c r="Z192" s="733">
        <f t="shared" si="172"/>
        <v>0</v>
      </c>
      <c r="AA192" s="710"/>
      <c r="AB192" s="711"/>
      <c r="AC192" s="732">
        <f t="shared" si="173"/>
        <v>0</v>
      </c>
      <c r="AD192" s="733">
        <f t="shared" si="174"/>
        <v>0</v>
      </c>
      <c r="AE192" s="712"/>
      <c r="AF192" s="711"/>
      <c r="AG192" s="732">
        <f t="shared" si="175"/>
        <v>0</v>
      </c>
      <c r="AH192" s="733">
        <f t="shared" si="176"/>
        <v>0</v>
      </c>
      <c r="AI192" s="712"/>
      <c r="AJ192" s="708"/>
      <c r="AK192" s="733">
        <f t="shared" si="178"/>
        <v>0</v>
      </c>
      <c r="AL192" s="713"/>
    </row>
    <row r="193" spans="2:38" s="527" customFormat="1" outlineLevel="1">
      <c r="B193" s="699">
        <f>'Master BOQ Pricing_2018-01-08'!B193</f>
        <v>12.13</v>
      </c>
      <c r="C193" s="700" t="str">
        <f>'Master BOQ Pricing_2018-01-08'!C193</f>
        <v xml:space="preserve">High Pressure Jetting-StormWater </v>
      </c>
      <c r="D193" s="727" t="str">
        <f>'Master BOQ Pricing_2018-01-08'!D193</f>
        <v>m</v>
      </c>
      <c r="E193" s="702">
        <f>'Master BOQ Pricing_2018-01-08'!E193</f>
        <v>51.749999999999993</v>
      </c>
      <c r="F193" s="786"/>
      <c r="G193" s="729"/>
      <c r="H193" s="766"/>
      <c r="I193" s="704">
        <f t="shared" ref="I193:I195" si="186">H193*E193</f>
        <v>0</v>
      </c>
      <c r="J193" s="728"/>
      <c r="K193" s="729"/>
      <c r="L193" s="728"/>
      <c r="M193" s="729"/>
      <c r="N193" s="728"/>
      <c r="O193" s="729"/>
      <c r="P193" s="728"/>
      <c r="Q193" s="730"/>
      <c r="R193" s="731"/>
      <c r="S193" s="729"/>
      <c r="T193" s="711"/>
      <c r="U193" s="732">
        <f t="shared" ref="U193:U195" si="187">T193+H193</f>
        <v>0</v>
      </c>
      <c r="V193" s="733">
        <f t="shared" ref="V193:V195" si="188">U193*E193</f>
        <v>0</v>
      </c>
      <c r="W193" s="710"/>
      <c r="X193" s="711"/>
      <c r="Y193" s="732">
        <f t="shared" si="171"/>
        <v>0</v>
      </c>
      <c r="Z193" s="733">
        <f t="shared" si="172"/>
        <v>0</v>
      </c>
      <c r="AA193" s="710"/>
      <c r="AB193" s="711"/>
      <c r="AC193" s="732">
        <f t="shared" si="173"/>
        <v>0</v>
      </c>
      <c r="AD193" s="733">
        <f t="shared" si="174"/>
        <v>0</v>
      </c>
      <c r="AE193" s="712"/>
      <c r="AF193" s="711"/>
      <c r="AG193" s="732">
        <f t="shared" si="175"/>
        <v>0</v>
      </c>
      <c r="AH193" s="733">
        <f t="shared" si="176"/>
        <v>0</v>
      </c>
      <c r="AI193" s="712"/>
      <c r="AJ193" s="708"/>
      <c r="AK193" s="733">
        <f t="shared" si="178"/>
        <v>0</v>
      </c>
      <c r="AL193" s="713"/>
    </row>
    <row r="194" spans="2:38" s="527" customFormat="1" outlineLevel="1">
      <c r="B194" s="699">
        <f>'Master BOQ Pricing_2018-01-08'!B194</f>
        <v>12.14</v>
      </c>
      <c r="C194" s="700" t="str">
        <f>'Master BOQ Pricing_2018-01-08'!C194</f>
        <v xml:space="preserve">Over pumping ≤300mm pipe pumping distance not exceeding 150m  </v>
      </c>
      <c r="D194" s="727" t="str">
        <f>'Master BOQ Pricing_2018-01-08'!D194</f>
        <v>hour</v>
      </c>
      <c r="E194" s="702">
        <f>'Master BOQ Pricing_2018-01-08'!E194</f>
        <v>505.99999999999994</v>
      </c>
      <c r="F194" s="786"/>
      <c r="G194" s="729"/>
      <c r="H194" s="766"/>
      <c r="I194" s="704">
        <f t="shared" si="186"/>
        <v>0</v>
      </c>
      <c r="J194" s="728"/>
      <c r="K194" s="729"/>
      <c r="L194" s="728"/>
      <c r="M194" s="729"/>
      <c r="N194" s="728"/>
      <c r="O194" s="729"/>
      <c r="P194" s="728"/>
      <c r="Q194" s="730"/>
      <c r="R194" s="731"/>
      <c r="S194" s="729"/>
      <c r="T194" s="711"/>
      <c r="U194" s="732">
        <f t="shared" si="187"/>
        <v>0</v>
      </c>
      <c r="V194" s="733">
        <f t="shared" si="188"/>
        <v>0</v>
      </c>
      <c r="W194" s="710"/>
      <c r="X194" s="711"/>
      <c r="Y194" s="732">
        <f t="shared" si="171"/>
        <v>0</v>
      </c>
      <c r="Z194" s="733">
        <f t="shared" si="172"/>
        <v>0</v>
      </c>
      <c r="AA194" s="710"/>
      <c r="AB194" s="711"/>
      <c r="AC194" s="732">
        <f t="shared" si="173"/>
        <v>0</v>
      </c>
      <c r="AD194" s="733">
        <f t="shared" si="174"/>
        <v>0</v>
      </c>
      <c r="AE194" s="712"/>
      <c r="AF194" s="711"/>
      <c r="AG194" s="732">
        <f t="shared" si="175"/>
        <v>0</v>
      </c>
      <c r="AH194" s="733">
        <f t="shared" si="176"/>
        <v>0</v>
      </c>
      <c r="AI194" s="712"/>
      <c r="AJ194" s="708"/>
      <c r="AK194" s="733">
        <f t="shared" si="178"/>
        <v>0</v>
      </c>
      <c r="AL194" s="713"/>
    </row>
    <row r="195" spans="2:38" s="527" customFormat="1" outlineLevel="1">
      <c r="B195" s="699">
        <f>'Master BOQ Pricing_2018-01-08'!B195</f>
        <v>12.15</v>
      </c>
      <c r="C195" s="700" t="str">
        <f>'Master BOQ Pricing_2018-01-08'!C195</f>
        <v>Sewer sand Bagging per manhole</v>
      </c>
      <c r="D195" s="727" t="str">
        <f>'Master BOQ Pricing_2018-01-08'!D195</f>
        <v>ea</v>
      </c>
      <c r="E195" s="702">
        <f>'Master BOQ Pricing_2018-01-08'!E195</f>
        <v>23</v>
      </c>
      <c r="F195" s="786"/>
      <c r="G195" s="729"/>
      <c r="H195" s="711"/>
      <c r="I195" s="704">
        <f t="shared" si="186"/>
        <v>0</v>
      </c>
      <c r="J195" s="728"/>
      <c r="K195" s="729"/>
      <c r="L195" s="728"/>
      <c r="M195" s="729"/>
      <c r="N195" s="728"/>
      <c r="O195" s="729"/>
      <c r="P195" s="728"/>
      <c r="Q195" s="730"/>
      <c r="R195" s="731"/>
      <c r="S195" s="729"/>
      <c r="T195" s="711"/>
      <c r="U195" s="732">
        <f t="shared" si="187"/>
        <v>0</v>
      </c>
      <c r="V195" s="733">
        <f t="shared" si="188"/>
        <v>0</v>
      </c>
      <c r="W195" s="710"/>
      <c r="X195" s="711"/>
      <c r="Y195" s="732">
        <f t="shared" si="171"/>
        <v>0</v>
      </c>
      <c r="Z195" s="733">
        <f t="shared" si="172"/>
        <v>0</v>
      </c>
      <c r="AA195" s="710"/>
      <c r="AB195" s="711"/>
      <c r="AC195" s="732">
        <f t="shared" si="173"/>
        <v>0</v>
      </c>
      <c r="AD195" s="733">
        <f t="shared" si="174"/>
        <v>0</v>
      </c>
      <c r="AE195" s="712"/>
      <c r="AF195" s="711"/>
      <c r="AG195" s="732">
        <f t="shared" si="175"/>
        <v>0</v>
      </c>
      <c r="AH195" s="733">
        <f t="shared" si="176"/>
        <v>0</v>
      </c>
      <c r="AI195" s="712"/>
      <c r="AJ195" s="708"/>
      <c r="AK195" s="733">
        <f t="shared" si="178"/>
        <v>0</v>
      </c>
      <c r="AL195" s="713"/>
    </row>
    <row r="196" spans="2:38" s="527" customFormat="1">
      <c r="B196" s="741">
        <f>'Master BOQ Pricing_2018-01-08'!B196</f>
        <v>13</v>
      </c>
      <c r="C196" s="742" t="str">
        <f>'Master BOQ Pricing_2018-01-08'!C196</f>
        <v>AERIAL LINE CABLE</v>
      </c>
      <c r="D196" s="764"/>
      <c r="E196" s="765"/>
      <c r="F196" s="745"/>
      <c r="G196" s="746">
        <f>SUBTOTAL(9,G197:G212)</f>
        <v>0</v>
      </c>
      <c r="H196" s="747"/>
      <c r="I196" s="815"/>
      <c r="J196" s="747"/>
      <c r="K196" s="815"/>
      <c r="L196" s="747"/>
      <c r="M196" s="815"/>
      <c r="N196" s="747"/>
      <c r="O196" s="815"/>
      <c r="P196" s="747"/>
      <c r="Q196" s="816"/>
      <c r="R196" s="750"/>
      <c r="S196" s="748"/>
      <c r="T196" s="751"/>
      <c r="U196" s="752"/>
      <c r="V196" s="753"/>
      <c r="W196" s="754"/>
      <c r="X196" s="751"/>
      <c r="Y196" s="755"/>
      <c r="Z196" s="756"/>
      <c r="AA196" s="757"/>
      <c r="AB196" s="758"/>
      <c r="AC196" s="755"/>
      <c r="AD196" s="756"/>
      <c r="AE196" s="759"/>
      <c r="AF196" s="758"/>
      <c r="AG196" s="755"/>
      <c r="AH196" s="756"/>
      <c r="AI196" s="759"/>
      <c r="AJ196" s="760"/>
      <c r="AK196" s="756"/>
      <c r="AL196" s="761"/>
    </row>
    <row r="197" spans="2:38" s="527" customFormat="1" outlineLevel="1">
      <c r="B197" s="699">
        <f>'Master BOQ Pricing_2018-01-08'!B197</f>
        <v>13.01</v>
      </c>
      <c r="C197" s="700" t="str">
        <f>'Master BOQ Pricing_2018-01-08'!C197</f>
        <v>Survey, Dig / Drill and Plant 7.2 m Pole (100mm-125mm) (Hole 350mm Ø x 1200mm deep)</v>
      </c>
      <c r="D197" s="727" t="str">
        <f>'Master BOQ Pricing_2018-01-08'!D197</f>
        <v>ea</v>
      </c>
      <c r="E197" s="702">
        <f>'Master BOQ Pricing_2018-01-08'!E197</f>
        <v>210.57</v>
      </c>
      <c r="F197" s="887">
        <f>'MATERIAL REQUEST'!F105</f>
        <v>0</v>
      </c>
      <c r="G197" s="704">
        <f>+F197*E197</f>
        <v>0</v>
      </c>
      <c r="H197" s="728"/>
      <c r="I197" s="617"/>
      <c r="J197" s="728"/>
      <c r="K197" s="617"/>
      <c r="L197" s="728"/>
      <c r="M197" s="617"/>
      <c r="N197" s="728"/>
      <c r="O197" s="617"/>
      <c r="P197" s="728"/>
      <c r="Q197" s="618"/>
      <c r="R197" s="731"/>
      <c r="S197" s="729"/>
      <c r="T197" s="711"/>
      <c r="U197" s="732">
        <f t="shared" ref="U197" si="189">T197+F197</f>
        <v>0</v>
      </c>
      <c r="V197" s="733">
        <f t="shared" ref="V197" si="190">U197*E197</f>
        <v>0</v>
      </c>
      <c r="W197" s="710"/>
      <c r="X197" s="711"/>
      <c r="Y197" s="732">
        <f t="shared" ref="Y197" si="191">X197+U197</f>
        <v>0</v>
      </c>
      <c r="Z197" s="733">
        <f t="shared" ref="Z197" si="192">Y197*E197</f>
        <v>0</v>
      </c>
      <c r="AA197" s="710"/>
      <c r="AB197" s="711"/>
      <c r="AC197" s="732">
        <f t="shared" ref="AC197" si="193">AB197+Y197</f>
        <v>0</v>
      </c>
      <c r="AD197" s="733">
        <f t="shared" ref="AD197" si="194">AC197*E197</f>
        <v>0</v>
      </c>
      <c r="AE197" s="712"/>
      <c r="AF197" s="711"/>
      <c r="AG197" s="732">
        <f t="shared" ref="AG197" si="195">AF197+AC197</f>
        <v>0</v>
      </c>
      <c r="AH197" s="733">
        <f t="shared" ref="AH197" si="196">AG197*E197</f>
        <v>0</v>
      </c>
      <c r="AI197" s="712"/>
      <c r="AJ197" s="708"/>
      <c r="AK197" s="733">
        <f t="shared" ref="AK197" si="197">AJ197*E197</f>
        <v>0</v>
      </c>
      <c r="AL197" s="713"/>
    </row>
    <row r="198" spans="2:38" s="527" customFormat="1" outlineLevel="1">
      <c r="B198" s="699">
        <f>'Master BOQ Pricing_2018-01-08'!B198</f>
        <v>13.02</v>
      </c>
      <c r="C198" s="700" t="str">
        <f>'Master BOQ Pricing_2018-01-08'!C198</f>
        <v>Survey, Dig / Drill and Plant 9 m Pole (125mm-150mm) (Hole 350mm Ø x 1500mm deep)</v>
      </c>
      <c r="D198" s="727" t="str">
        <f>'Master BOQ Pricing_2018-01-08'!D198</f>
        <v>ea</v>
      </c>
      <c r="E198" s="702">
        <f>'Master BOQ Pricing_2018-01-08'!E198</f>
        <v>252.69</v>
      </c>
      <c r="F198" s="887">
        <f>'MATERIAL REQUEST'!F106</f>
        <v>0</v>
      </c>
      <c r="G198" s="704">
        <f t="shared" ref="G198:G212" si="198">+F198*E198</f>
        <v>0</v>
      </c>
      <c r="H198" s="728"/>
      <c r="I198" s="617"/>
      <c r="J198" s="728"/>
      <c r="K198" s="617"/>
      <c r="L198" s="728"/>
      <c r="M198" s="617"/>
      <c r="N198" s="728"/>
      <c r="O198" s="617"/>
      <c r="P198" s="728"/>
      <c r="Q198" s="618"/>
      <c r="R198" s="731"/>
      <c r="S198" s="729"/>
      <c r="T198" s="711"/>
      <c r="U198" s="732">
        <f t="shared" ref="U198:U212" si="199">T198+F198</f>
        <v>0</v>
      </c>
      <c r="V198" s="733">
        <f t="shared" ref="V198:V212" si="200">U198*E198</f>
        <v>0</v>
      </c>
      <c r="W198" s="710"/>
      <c r="X198" s="711"/>
      <c r="Y198" s="732">
        <f t="shared" ref="Y198:Y212" si="201">X198+U198</f>
        <v>0</v>
      </c>
      <c r="Z198" s="733">
        <f t="shared" ref="Z198:Z212" si="202">Y198*E198</f>
        <v>0</v>
      </c>
      <c r="AA198" s="710"/>
      <c r="AB198" s="711"/>
      <c r="AC198" s="732">
        <f t="shared" ref="AC198:AC212" si="203">AB198+Y198</f>
        <v>0</v>
      </c>
      <c r="AD198" s="733">
        <f t="shared" ref="AD198:AD212" si="204">AC198*E198</f>
        <v>0</v>
      </c>
      <c r="AE198" s="712"/>
      <c r="AF198" s="711"/>
      <c r="AG198" s="732">
        <f t="shared" ref="AG198:AG212" si="205">AF198+AC198</f>
        <v>0</v>
      </c>
      <c r="AH198" s="733">
        <f t="shared" ref="AH198:AH212" si="206">AG198*E198</f>
        <v>0</v>
      </c>
      <c r="AI198" s="712"/>
      <c r="AJ198" s="708"/>
      <c r="AK198" s="733">
        <f t="shared" ref="AK198:AK212" si="207">AJ198*E198</f>
        <v>0</v>
      </c>
      <c r="AL198" s="713"/>
    </row>
    <row r="199" spans="2:38" s="527" customFormat="1" outlineLevel="1">
      <c r="B199" s="699">
        <f>'Master BOQ Pricing_2018-01-08'!B199</f>
        <v>13.03</v>
      </c>
      <c r="C199" s="700" t="str">
        <f>'Master BOQ Pricing_2018-01-08'!C199</f>
        <v>Survey Dig  Plant and Fit All Sizes Struts Complete To Poles</v>
      </c>
      <c r="D199" s="727" t="str">
        <f>'Master BOQ Pricing_2018-01-08'!D199</f>
        <v>ea</v>
      </c>
      <c r="E199" s="702">
        <f>'Master BOQ Pricing_2018-01-08'!E199</f>
        <v>159.18</v>
      </c>
      <c r="F199" s="703"/>
      <c r="G199" s="704">
        <f t="shared" ref="G199" si="208">+F199*E199</f>
        <v>0</v>
      </c>
      <c r="H199" s="728"/>
      <c r="I199" s="617"/>
      <c r="J199" s="728"/>
      <c r="K199" s="617"/>
      <c r="L199" s="728"/>
      <c r="M199" s="617"/>
      <c r="N199" s="728"/>
      <c r="O199" s="617"/>
      <c r="P199" s="728"/>
      <c r="Q199" s="618"/>
      <c r="R199" s="731"/>
      <c r="S199" s="729"/>
      <c r="T199" s="711"/>
      <c r="U199" s="732">
        <f t="shared" ref="U199:U200" si="209">T199+F199</f>
        <v>0</v>
      </c>
      <c r="V199" s="733">
        <f t="shared" ref="V199:V200" si="210">U199*E199</f>
        <v>0</v>
      </c>
      <c r="W199" s="710"/>
      <c r="X199" s="711"/>
      <c r="Y199" s="732">
        <f t="shared" ref="Y199:Y200" si="211">X199+U199</f>
        <v>0</v>
      </c>
      <c r="Z199" s="733">
        <f t="shared" ref="Z199:Z200" si="212">Y199*E199</f>
        <v>0</v>
      </c>
      <c r="AA199" s="710"/>
      <c r="AB199" s="711"/>
      <c r="AC199" s="732">
        <f t="shared" ref="AC199:AC200" si="213">AB199+Y199</f>
        <v>0</v>
      </c>
      <c r="AD199" s="733">
        <f t="shared" ref="AD199:AD200" si="214">AC199*E199</f>
        <v>0</v>
      </c>
      <c r="AE199" s="712"/>
      <c r="AF199" s="711"/>
      <c r="AG199" s="732">
        <f t="shared" ref="AG199:AG200" si="215">AF199+AC199</f>
        <v>0</v>
      </c>
      <c r="AH199" s="733">
        <f t="shared" ref="AH199:AH200" si="216">AG199*E199</f>
        <v>0</v>
      </c>
      <c r="AI199" s="712"/>
      <c r="AJ199" s="708"/>
      <c r="AK199" s="733">
        <f t="shared" ref="AK199:AK200" si="217">AJ199*E199</f>
        <v>0</v>
      </c>
      <c r="AL199" s="713"/>
    </row>
    <row r="200" spans="2:38" s="527" customFormat="1" ht="27.6" customHeight="1" outlineLevel="1">
      <c r="B200" s="699">
        <f>'Master BOQ Pricing_2018-01-08'!B200</f>
        <v>13.04</v>
      </c>
      <c r="C200" s="700" t="str">
        <f>'Master BOQ Pricing_2018-01-08'!C200</f>
        <v>Survey, Drill or Dig and Plant Stays or Stay Plates and Rods As Surveyed 12mm Stay Hole (350mm X 350mm X 1000mm Deep) Including Stay Wire 7 x 1.7mm, Guy Grip,Bracket 45DEG for Stay Wire Grip and Duckbill Stay Anchor</v>
      </c>
      <c r="D200" s="727" t="str">
        <f>'Master BOQ Pricing_2018-01-08'!D200</f>
        <v>ea</v>
      </c>
      <c r="E200" s="702">
        <f>'Master BOQ Pricing_2018-01-08'!E200</f>
        <v>186.55</v>
      </c>
      <c r="F200" s="887">
        <f>'MATERIAL REQUEST'!F122</f>
        <v>0</v>
      </c>
      <c r="G200" s="704">
        <f t="shared" si="198"/>
        <v>0</v>
      </c>
      <c r="H200" s="728"/>
      <c r="I200" s="617"/>
      <c r="J200" s="728"/>
      <c r="K200" s="617"/>
      <c r="L200" s="728"/>
      <c r="M200" s="617"/>
      <c r="N200" s="728"/>
      <c r="O200" s="617"/>
      <c r="P200" s="728"/>
      <c r="Q200" s="618"/>
      <c r="R200" s="731"/>
      <c r="S200" s="729"/>
      <c r="T200" s="711"/>
      <c r="U200" s="732">
        <f t="shared" si="209"/>
        <v>0</v>
      </c>
      <c r="V200" s="733">
        <f t="shared" si="210"/>
        <v>0</v>
      </c>
      <c r="W200" s="710"/>
      <c r="X200" s="711"/>
      <c r="Y200" s="732">
        <f t="shared" si="211"/>
        <v>0</v>
      </c>
      <c r="Z200" s="733">
        <f t="shared" si="212"/>
        <v>0</v>
      </c>
      <c r="AA200" s="710"/>
      <c r="AB200" s="711"/>
      <c r="AC200" s="732">
        <f t="shared" si="213"/>
        <v>0</v>
      </c>
      <c r="AD200" s="733">
        <f t="shared" si="214"/>
        <v>0</v>
      </c>
      <c r="AE200" s="712"/>
      <c r="AF200" s="711"/>
      <c r="AG200" s="732">
        <f t="shared" si="215"/>
        <v>0</v>
      </c>
      <c r="AH200" s="733">
        <f t="shared" si="216"/>
        <v>0</v>
      </c>
      <c r="AI200" s="712"/>
      <c r="AJ200" s="708"/>
      <c r="AK200" s="733">
        <f t="shared" si="217"/>
        <v>0</v>
      </c>
      <c r="AL200" s="713"/>
    </row>
    <row r="201" spans="2:38" s="527" customFormat="1" ht="27.6" customHeight="1" outlineLevel="1">
      <c r="B201" s="699">
        <f>'Master BOQ Pricing_2018-01-08'!B201</f>
        <v>13.05</v>
      </c>
      <c r="C201" s="700" t="str">
        <f>'Master BOQ Pricing_2018-01-08'!C201</f>
        <v>Install M12 x 220 Pigtail bolt nut and washer with Double Hook and Dead End FDE 375/414 for ADSS 9.5-10.5mm (4, 8, 12 &amp; 24 Fibre)</v>
      </c>
      <c r="D201" s="727" t="str">
        <f>'Master BOQ Pricing_2018-01-08'!D201</f>
        <v>ea</v>
      </c>
      <c r="E201" s="702">
        <f>'Master BOQ Pricing_2018-01-08'!E201</f>
        <v>71.069999999999993</v>
      </c>
      <c r="F201" s="887">
        <f>'MATERIAL REQUEST'!F123</f>
        <v>0</v>
      </c>
      <c r="G201" s="704">
        <f t="shared" si="198"/>
        <v>0</v>
      </c>
      <c r="H201" s="728"/>
      <c r="I201" s="617"/>
      <c r="J201" s="728"/>
      <c r="K201" s="617"/>
      <c r="L201" s="728"/>
      <c r="M201" s="617"/>
      <c r="N201" s="728"/>
      <c r="O201" s="617"/>
      <c r="P201" s="728"/>
      <c r="Q201" s="618"/>
      <c r="R201" s="731"/>
      <c r="S201" s="729"/>
      <c r="T201" s="711"/>
      <c r="U201" s="732">
        <f t="shared" si="199"/>
        <v>0</v>
      </c>
      <c r="V201" s="733">
        <f t="shared" si="200"/>
        <v>0</v>
      </c>
      <c r="W201" s="710"/>
      <c r="X201" s="711"/>
      <c r="Y201" s="732">
        <f t="shared" si="201"/>
        <v>0</v>
      </c>
      <c r="Z201" s="733">
        <f t="shared" si="202"/>
        <v>0</v>
      </c>
      <c r="AA201" s="710"/>
      <c r="AB201" s="711"/>
      <c r="AC201" s="732">
        <f t="shared" si="203"/>
        <v>0</v>
      </c>
      <c r="AD201" s="733">
        <f t="shared" si="204"/>
        <v>0</v>
      </c>
      <c r="AE201" s="712"/>
      <c r="AF201" s="711"/>
      <c r="AG201" s="732">
        <f t="shared" si="205"/>
        <v>0</v>
      </c>
      <c r="AH201" s="733">
        <f t="shared" si="206"/>
        <v>0</v>
      </c>
      <c r="AI201" s="712"/>
      <c r="AJ201" s="708"/>
      <c r="AK201" s="733">
        <f t="shared" si="207"/>
        <v>0</v>
      </c>
      <c r="AL201" s="713"/>
    </row>
    <row r="202" spans="2:38" s="527" customFormat="1" ht="27.6" customHeight="1" outlineLevel="1">
      <c r="B202" s="699">
        <f>'Master BOQ Pricing_2018-01-08'!B202</f>
        <v>13.06</v>
      </c>
      <c r="C202" s="700" t="str">
        <f>'Master BOQ Pricing_2018-01-08'!C202</f>
        <v>Install M12 x 220 Pigtail bolt nut and washer with Double Hook and Dead End FDE 415/459 for ADSS 10.54-11.66mm (48 &amp; 72 Fibre)</v>
      </c>
      <c r="D202" s="727" t="str">
        <f>'Master BOQ Pricing_2018-01-08'!D202</f>
        <v>ea</v>
      </c>
      <c r="E202" s="702">
        <f>'Master BOQ Pricing_2018-01-08'!E202</f>
        <v>75.069999999999993</v>
      </c>
      <c r="F202" s="887">
        <f>'MATERIAL REQUEST'!F124</f>
        <v>0</v>
      </c>
      <c r="G202" s="704">
        <f t="shared" si="198"/>
        <v>0</v>
      </c>
      <c r="H202" s="728"/>
      <c r="I202" s="617"/>
      <c r="J202" s="728"/>
      <c r="K202" s="617"/>
      <c r="L202" s="728"/>
      <c r="M202" s="617"/>
      <c r="N202" s="728"/>
      <c r="O202" s="617"/>
      <c r="P202" s="728"/>
      <c r="Q202" s="618"/>
      <c r="R202" s="731"/>
      <c r="S202" s="729"/>
      <c r="T202" s="711"/>
      <c r="U202" s="732">
        <f t="shared" si="199"/>
        <v>0</v>
      </c>
      <c r="V202" s="733">
        <f t="shared" si="200"/>
        <v>0</v>
      </c>
      <c r="W202" s="710"/>
      <c r="X202" s="711"/>
      <c r="Y202" s="732">
        <f t="shared" si="201"/>
        <v>0</v>
      </c>
      <c r="Z202" s="733">
        <f t="shared" si="202"/>
        <v>0</v>
      </c>
      <c r="AA202" s="710"/>
      <c r="AB202" s="711"/>
      <c r="AC202" s="732">
        <f t="shared" si="203"/>
        <v>0</v>
      </c>
      <c r="AD202" s="733">
        <f t="shared" si="204"/>
        <v>0</v>
      </c>
      <c r="AE202" s="712"/>
      <c r="AF202" s="711"/>
      <c r="AG202" s="732">
        <f t="shared" si="205"/>
        <v>0</v>
      </c>
      <c r="AH202" s="733">
        <f t="shared" si="206"/>
        <v>0</v>
      </c>
      <c r="AI202" s="712"/>
      <c r="AJ202" s="708"/>
      <c r="AK202" s="733">
        <f t="shared" si="207"/>
        <v>0</v>
      </c>
      <c r="AL202" s="713"/>
    </row>
    <row r="203" spans="2:38" s="527" customFormat="1" ht="27.6" customHeight="1" outlineLevel="1">
      <c r="B203" s="699">
        <f>'Master BOQ Pricing_2018-01-08'!B203</f>
        <v>13.07</v>
      </c>
      <c r="C203" s="700" t="str">
        <f>'Master BOQ Pricing_2018-01-08'!C203</f>
        <v>Install M12 x 220 Pigtail bolt nut and washer with Double Hook and Dead end FDE 616/680 for ADSS 15.6-17.27mm (144 Fibre)</v>
      </c>
      <c r="D203" s="727" t="str">
        <f>'Master BOQ Pricing_2018-01-08'!D203</f>
        <v>ea</v>
      </c>
      <c r="E203" s="702">
        <f>'Master BOQ Pricing_2018-01-08'!E203</f>
        <v>79.069999999999993</v>
      </c>
      <c r="F203" s="887">
        <f>'MATERIAL REQUEST'!F125</f>
        <v>0</v>
      </c>
      <c r="G203" s="704">
        <f t="shared" ref="G203" si="218">+F203*E203</f>
        <v>0</v>
      </c>
      <c r="H203" s="728"/>
      <c r="I203" s="617"/>
      <c r="J203" s="728"/>
      <c r="K203" s="617"/>
      <c r="L203" s="728"/>
      <c r="M203" s="617"/>
      <c r="N203" s="728"/>
      <c r="O203" s="617"/>
      <c r="P203" s="728"/>
      <c r="Q203" s="618"/>
      <c r="R203" s="731"/>
      <c r="S203" s="729"/>
      <c r="T203" s="711"/>
      <c r="U203" s="732">
        <f t="shared" ref="U203:U204" si="219">T203+F203</f>
        <v>0</v>
      </c>
      <c r="V203" s="733">
        <f t="shared" ref="V203:V204" si="220">U203*E203</f>
        <v>0</v>
      </c>
      <c r="W203" s="710"/>
      <c r="X203" s="711"/>
      <c r="Y203" s="732">
        <f t="shared" ref="Y203:Y204" si="221">X203+U203</f>
        <v>0</v>
      </c>
      <c r="Z203" s="733">
        <f t="shared" ref="Z203:Z204" si="222">Y203*E203</f>
        <v>0</v>
      </c>
      <c r="AA203" s="710"/>
      <c r="AB203" s="711"/>
      <c r="AC203" s="732">
        <f t="shared" ref="AC203:AC204" si="223">AB203+Y203</f>
        <v>0</v>
      </c>
      <c r="AD203" s="733">
        <f t="shared" ref="AD203:AD204" si="224">AC203*E203</f>
        <v>0</v>
      </c>
      <c r="AE203" s="712"/>
      <c r="AF203" s="711"/>
      <c r="AG203" s="732">
        <f t="shared" ref="AG203:AG204" si="225">AF203+AC203</f>
        <v>0</v>
      </c>
      <c r="AH203" s="733">
        <f t="shared" ref="AH203:AH204" si="226">AG203*E203</f>
        <v>0</v>
      </c>
      <c r="AI203" s="712"/>
      <c r="AJ203" s="708"/>
      <c r="AK203" s="733">
        <f t="shared" ref="AK203:AK204" si="227">AJ203*E203</f>
        <v>0</v>
      </c>
      <c r="AL203" s="713"/>
    </row>
    <row r="204" spans="2:38" s="527" customFormat="1" ht="27.6" customHeight="1" outlineLevel="1">
      <c r="B204" s="699">
        <f>'Master BOQ Pricing_2018-01-08'!B204</f>
        <v>13.08</v>
      </c>
      <c r="C204" s="700" t="str">
        <f>'Master BOQ Pricing_2018-01-08'!C204</f>
        <v>Install M12 x 220 Pigtail bolt nut and washer with Single Hook and Tangent Support FOT 375/414 for ADSS 9.5-10.5mm (4, 8, 12 &amp; 24 Fibre)</v>
      </c>
      <c r="D204" s="727" t="str">
        <f>'Master BOQ Pricing_2018-01-08'!D204</f>
        <v>ea</v>
      </c>
      <c r="E204" s="702">
        <f>'Master BOQ Pricing_2018-01-08'!E204</f>
        <v>45.12</v>
      </c>
      <c r="F204" s="887">
        <f>'MATERIAL REQUEST'!F126</f>
        <v>0</v>
      </c>
      <c r="G204" s="704">
        <f t="shared" si="198"/>
        <v>0</v>
      </c>
      <c r="H204" s="728"/>
      <c r="I204" s="617"/>
      <c r="J204" s="728"/>
      <c r="K204" s="617"/>
      <c r="L204" s="728"/>
      <c r="M204" s="617"/>
      <c r="N204" s="728"/>
      <c r="O204" s="617"/>
      <c r="P204" s="728"/>
      <c r="Q204" s="618"/>
      <c r="R204" s="731"/>
      <c r="S204" s="729"/>
      <c r="T204" s="711"/>
      <c r="U204" s="732">
        <f t="shared" si="219"/>
        <v>0</v>
      </c>
      <c r="V204" s="733">
        <f t="shared" si="220"/>
        <v>0</v>
      </c>
      <c r="W204" s="710"/>
      <c r="X204" s="711"/>
      <c r="Y204" s="732">
        <f t="shared" si="221"/>
        <v>0</v>
      </c>
      <c r="Z204" s="733">
        <f t="shared" si="222"/>
        <v>0</v>
      </c>
      <c r="AA204" s="710"/>
      <c r="AB204" s="711"/>
      <c r="AC204" s="732">
        <f t="shared" si="223"/>
        <v>0</v>
      </c>
      <c r="AD204" s="733">
        <f t="shared" si="224"/>
        <v>0</v>
      </c>
      <c r="AE204" s="712"/>
      <c r="AF204" s="711"/>
      <c r="AG204" s="732">
        <f t="shared" si="225"/>
        <v>0</v>
      </c>
      <c r="AH204" s="733">
        <f t="shared" si="226"/>
        <v>0</v>
      </c>
      <c r="AI204" s="712"/>
      <c r="AJ204" s="708"/>
      <c r="AK204" s="733">
        <f t="shared" si="227"/>
        <v>0</v>
      </c>
      <c r="AL204" s="713"/>
    </row>
    <row r="205" spans="2:38" s="527" customFormat="1" ht="27.6" customHeight="1" outlineLevel="1">
      <c r="B205" s="699">
        <f>'Master BOQ Pricing_2018-01-08'!B205</f>
        <v>13.09</v>
      </c>
      <c r="C205" s="700" t="str">
        <f>'Master BOQ Pricing_2018-01-08'!C205</f>
        <v>Install M12 x 220 Pigtail bolt nut and washer with Single Hook and Tangent Support FOT 398/425 for ADSS 10.1-10.8mm (48 Fibre)</v>
      </c>
      <c r="D205" s="727" t="str">
        <f>'Master BOQ Pricing_2018-01-08'!D205</f>
        <v>ea</v>
      </c>
      <c r="E205" s="702">
        <f>'Master BOQ Pricing_2018-01-08'!E205</f>
        <v>55.12</v>
      </c>
      <c r="F205" s="887">
        <f>'MATERIAL REQUEST'!F127</f>
        <v>0</v>
      </c>
      <c r="G205" s="704">
        <f t="shared" si="198"/>
        <v>0</v>
      </c>
      <c r="H205" s="728"/>
      <c r="I205" s="617"/>
      <c r="J205" s="728"/>
      <c r="K205" s="617"/>
      <c r="L205" s="728"/>
      <c r="M205" s="617"/>
      <c r="N205" s="728"/>
      <c r="O205" s="617"/>
      <c r="P205" s="728"/>
      <c r="Q205" s="618"/>
      <c r="R205" s="731"/>
      <c r="S205" s="729"/>
      <c r="T205" s="711"/>
      <c r="U205" s="732">
        <f t="shared" si="199"/>
        <v>0</v>
      </c>
      <c r="V205" s="733">
        <f t="shared" si="200"/>
        <v>0</v>
      </c>
      <c r="W205" s="710"/>
      <c r="X205" s="711"/>
      <c r="Y205" s="732">
        <f t="shared" si="201"/>
        <v>0</v>
      </c>
      <c r="Z205" s="733">
        <f t="shared" si="202"/>
        <v>0</v>
      </c>
      <c r="AA205" s="710"/>
      <c r="AB205" s="711"/>
      <c r="AC205" s="732">
        <f t="shared" si="203"/>
        <v>0</v>
      </c>
      <c r="AD205" s="733">
        <f t="shared" si="204"/>
        <v>0</v>
      </c>
      <c r="AE205" s="712"/>
      <c r="AF205" s="711"/>
      <c r="AG205" s="732">
        <f t="shared" si="205"/>
        <v>0</v>
      </c>
      <c r="AH205" s="733">
        <f t="shared" si="206"/>
        <v>0</v>
      </c>
      <c r="AI205" s="712"/>
      <c r="AJ205" s="708"/>
      <c r="AK205" s="733">
        <f t="shared" si="207"/>
        <v>0</v>
      </c>
      <c r="AL205" s="713"/>
    </row>
    <row r="206" spans="2:38" s="527" customFormat="1" ht="27.6" customHeight="1" outlineLevel="1">
      <c r="B206" s="699">
        <f>'Master BOQ Pricing_2018-01-08'!B206</f>
        <v>13.1</v>
      </c>
      <c r="C206" s="700" t="str">
        <f>'Master BOQ Pricing_2018-01-08'!C206</f>
        <v>Install M12 x 220 Pigtail bolt nut and washer with Single Hook and Tangent Support FOT 426/455 for ADSS 10.8-11.5mm (72 Fibre)</v>
      </c>
      <c r="D206" s="727" t="str">
        <f>'Master BOQ Pricing_2018-01-08'!D206</f>
        <v>ea</v>
      </c>
      <c r="E206" s="702">
        <f>'Master BOQ Pricing_2018-01-08'!E206</f>
        <v>65.12</v>
      </c>
      <c r="F206" s="887">
        <f>'MATERIAL REQUEST'!F128</f>
        <v>0</v>
      </c>
      <c r="G206" s="704">
        <f t="shared" si="198"/>
        <v>0</v>
      </c>
      <c r="H206" s="728"/>
      <c r="I206" s="617"/>
      <c r="J206" s="728"/>
      <c r="K206" s="617"/>
      <c r="L206" s="728"/>
      <c r="M206" s="617"/>
      <c r="N206" s="728"/>
      <c r="O206" s="617"/>
      <c r="P206" s="728"/>
      <c r="Q206" s="618"/>
      <c r="R206" s="731"/>
      <c r="S206" s="729"/>
      <c r="T206" s="711"/>
      <c r="U206" s="732">
        <f t="shared" si="199"/>
        <v>0</v>
      </c>
      <c r="V206" s="733">
        <f t="shared" si="200"/>
        <v>0</v>
      </c>
      <c r="W206" s="710"/>
      <c r="X206" s="711"/>
      <c r="Y206" s="732">
        <f t="shared" si="201"/>
        <v>0</v>
      </c>
      <c r="Z206" s="733">
        <f t="shared" si="202"/>
        <v>0</v>
      </c>
      <c r="AA206" s="710"/>
      <c r="AB206" s="711"/>
      <c r="AC206" s="732">
        <f t="shared" si="203"/>
        <v>0</v>
      </c>
      <c r="AD206" s="733">
        <f t="shared" si="204"/>
        <v>0</v>
      </c>
      <c r="AE206" s="712"/>
      <c r="AF206" s="711"/>
      <c r="AG206" s="732">
        <f t="shared" si="205"/>
        <v>0</v>
      </c>
      <c r="AH206" s="733">
        <f t="shared" si="206"/>
        <v>0</v>
      </c>
      <c r="AI206" s="712"/>
      <c r="AJ206" s="708"/>
      <c r="AK206" s="733">
        <f t="shared" si="207"/>
        <v>0</v>
      </c>
      <c r="AL206" s="713"/>
    </row>
    <row r="207" spans="2:38" s="527" customFormat="1" ht="27.6" customHeight="1" outlineLevel="1">
      <c r="B207" s="699">
        <f>'Master BOQ Pricing_2018-01-08'!B207</f>
        <v>13.11</v>
      </c>
      <c r="C207" s="700" t="str">
        <f>'Master BOQ Pricing_2018-01-08'!C207</f>
        <v>Install M12 x 220 Pigtail bolt nut and washer with Single Hook and Tangent Support FOT 595/630 for ADSS 15.11-16.0mm (144 Fibre)</v>
      </c>
      <c r="D207" s="727" t="str">
        <f>'Master BOQ Pricing_2018-01-08'!D207</f>
        <v>ea</v>
      </c>
      <c r="E207" s="702">
        <f>'Master BOQ Pricing_2018-01-08'!E207</f>
        <v>75.12</v>
      </c>
      <c r="F207" s="887">
        <f>'MATERIAL REQUEST'!F129</f>
        <v>0</v>
      </c>
      <c r="G207" s="704">
        <f t="shared" si="198"/>
        <v>0</v>
      </c>
      <c r="H207" s="728"/>
      <c r="I207" s="617"/>
      <c r="J207" s="728"/>
      <c r="K207" s="617"/>
      <c r="L207" s="728"/>
      <c r="M207" s="617"/>
      <c r="N207" s="728"/>
      <c r="O207" s="617"/>
      <c r="P207" s="728"/>
      <c r="Q207" s="618"/>
      <c r="R207" s="731"/>
      <c r="S207" s="729"/>
      <c r="T207" s="711"/>
      <c r="U207" s="732">
        <f t="shared" si="199"/>
        <v>0</v>
      </c>
      <c r="V207" s="733">
        <f t="shared" si="200"/>
        <v>0</v>
      </c>
      <c r="W207" s="710"/>
      <c r="X207" s="711"/>
      <c r="Y207" s="732">
        <f t="shared" si="201"/>
        <v>0</v>
      </c>
      <c r="Z207" s="733">
        <f t="shared" si="202"/>
        <v>0</v>
      </c>
      <c r="AA207" s="710"/>
      <c r="AB207" s="711"/>
      <c r="AC207" s="732">
        <f t="shared" si="203"/>
        <v>0</v>
      </c>
      <c r="AD207" s="733">
        <f t="shared" si="204"/>
        <v>0</v>
      </c>
      <c r="AE207" s="712"/>
      <c r="AF207" s="711"/>
      <c r="AG207" s="732">
        <f t="shared" si="205"/>
        <v>0</v>
      </c>
      <c r="AH207" s="733">
        <f t="shared" si="206"/>
        <v>0</v>
      </c>
      <c r="AI207" s="712"/>
      <c r="AJ207" s="708"/>
      <c r="AK207" s="733">
        <f t="shared" si="207"/>
        <v>0</v>
      </c>
      <c r="AL207" s="713"/>
    </row>
    <row r="208" spans="2:38" s="527" customFormat="1" outlineLevel="1">
      <c r="B208" s="699">
        <f>'Master BOQ Pricing_2018-01-08'!B208</f>
        <v>13.12</v>
      </c>
      <c r="C208" s="700" t="str">
        <f>'Master BOQ Pricing_2018-01-08'!C208</f>
        <v>Erecting Hauling Tensioning of Fibre Optical Cable on Overhead Cable Route (All Sizes)</v>
      </c>
      <c r="D208" s="727" t="str">
        <f>'Master BOQ Pricing_2018-01-08'!D208</f>
        <v>m</v>
      </c>
      <c r="E208" s="702">
        <f>'Master BOQ Pricing_2018-01-08'!E208</f>
        <v>4.57</v>
      </c>
      <c r="F208" s="887">
        <f>'MATERIAL REQUEST'!F28+'MATERIAL REQUEST'!F29+'MATERIAL REQUEST'!F30+'MATERIAL REQUEST'!F31+'MATERIAL REQUEST'!F32+'MATERIAL REQUEST'!F33+'MATERIAL REQUEST'!F34</f>
        <v>0</v>
      </c>
      <c r="G208" s="704">
        <f t="shared" si="198"/>
        <v>0</v>
      </c>
      <c r="H208" s="728"/>
      <c r="I208" s="617"/>
      <c r="J208" s="728"/>
      <c r="K208" s="617"/>
      <c r="L208" s="728"/>
      <c r="M208" s="617"/>
      <c r="N208" s="728"/>
      <c r="O208" s="617"/>
      <c r="P208" s="728"/>
      <c r="Q208" s="618"/>
      <c r="R208" s="731"/>
      <c r="S208" s="729"/>
      <c r="T208" s="711"/>
      <c r="U208" s="732">
        <f t="shared" si="199"/>
        <v>0</v>
      </c>
      <c r="V208" s="733">
        <f t="shared" si="200"/>
        <v>0</v>
      </c>
      <c r="W208" s="710"/>
      <c r="X208" s="711"/>
      <c r="Y208" s="732">
        <f t="shared" si="201"/>
        <v>0</v>
      </c>
      <c r="Z208" s="733">
        <f t="shared" si="202"/>
        <v>0</v>
      </c>
      <c r="AA208" s="710"/>
      <c r="AB208" s="711"/>
      <c r="AC208" s="732">
        <f t="shared" si="203"/>
        <v>0</v>
      </c>
      <c r="AD208" s="733">
        <f t="shared" si="204"/>
        <v>0</v>
      </c>
      <c r="AE208" s="712"/>
      <c r="AF208" s="711"/>
      <c r="AG208" s="732">
        <f t="shared" si="205"/>
        <v>0</v>
      </c>
      <c r="AH208" s="733">
        <f t="shared" si="206"/>
        <v>0</v>
      </c>
      <c r="AI208" s="712"/>
      <c r="AJ208" s="708"/>
      <c r="AK208" s="733">
        <f t="shared" si="207"/>
        <v>0</v>
      </c>
      <c r="AL208" s="713"/>
    </row>
    <row r="209" spans="2:38" s="527" customFormat="1" outlineLevel="1">
      <c r="B209" s="699">
        <f>'Master BOQ Pricing_2018-01-08'!B209</f>
        <v>13.13</v>
      </c>
      <c r="C209" s="700" t="str">
        <f>'Master BOQ Pricing_2018-01-08'!C209</f>
        <v xml:space="preserve">Concreting of Poles or Strut </v>
      </c>
      <c r="D209" s="727" t="str">
        <f>'Master BOQ Pricing_2018-01-08'!D209</f>
        <v>ea</v>
      </c>
      <c r="E209" s="702">
        <f>'Master BOQ Pricing_2018-01-08'!E209</f>
        <v>228</v>
      </c>
      <c r="F209" s="703"/>
      <c r="G209" s="704">
        <f t="shared" si="198"/>
        <v>0</v>
      </c>
      <c r="H209" s="728"/>
      <c r="I209" s="617"/>
      <c r="J209" s="728"/>
      <c r="K209" s="617"/>
      <c r="L209" s="728"/>
      <c r="M209" s="617"/>
      <c r="N209" s="728"/>
      <c r="O209" s="617"/>
      <c r="P209" s="728"/>
      <c r="Q209" s="618"/>
      <c r="R209" s="731"/>
      <c r="S209" s="729"/>
      <c r="T209" s="711"/>
      <c r="U209" s="732">
        <f t="shared" si="199"/>
        <v>0</v>
      </c>
      <c r="V209" s="733">
        <f t="shared" si="200"/>
        <v>0</v>
      </c>
      <c r="W209" s="710"/>
      <c r="X209" s="711"/>
      <c r="Y209" s="732">
        <f t="shared" si="201"/>
        <v>0</v>
      </c>
      <c r="Z209" s="733">
        <f t="shared" si="202"/>
        <v>0</v>
      </c>
      <c r="AA209" s="710"/>
      <c r="AB209" s="711"/>
      <c r="AC209" s="732">
        <f t="shared" si="203"/>
        <v>0</v>
      </c>
      <c r="AD209" s="733">
        <f t="shared" si="204"/>
        <v>0</v>
      </c>
      <c r="AE209" s="712"/>
      <c r="AF209" s="711"/>
      <c r="AG209" s="732">
        <f t="shared" si="205"/>
        <v>0</v>
      </c>
      <c r="AH209" s="733">
        <f t="shared" si="206"/>
        <v>0</v>
      </c>
      <c r="AI209" s="712"/>
      <c r="AJ209" s="708"/>
      <c r="AK209" s="733">
        <f t="shared" si="207"/>
        <v>0</v>
      </c>
      <c r="AL209" s="713"/>
    </row>
    <row r="210" spans="2:38" s="527" customFormat="1" outlineLevel="1">
      <c r="B210" s="699">
        <f>'Master BOQ Pricing_2018-01-08'!B210</f>
        <v>13.14</v>
      </c>
      <c r="C210" s="700" t="str">
        <f>'Master BOQ Pricing_2018-01-08'!C210</f>
        <v>Concreting of All size Stays</v>
      </c>
      <c r="D210" s="727" t="str">
        <f>'Master BOQ Pricing_2018-01-08'!D210</f>
        <v>ea</v>
      </c>
      <c r="E210" s="702">
        <f>'Master BOQ Pricing_2018-01-08'!E210</f>
        <v>258</v>
      </c>
      <c r="F210" s="703"/>
      <c r="G210" s="704">
        <f t="shared" si="198"/>
        <v>0</v>
      </c>
      <c r="H210" s="728"/>
      <c r="I210" s="617"/>
      <c r="J210" s="728"/>
      <c r="K210" s="617"/>
      <c r="L210" s="728"/>
      <c r="M210" s="617"/>
      <c r="N210" s="728"/>
      <c r="O210" s="617"/>
      <c r="P210" s="728"/>
      <c r="Q210" s="618"/>
      <c r="R210" s="731"/>
      <c r="S210" s="729"/>
      <c r="T210" s="711"/>
      <c r="U210" s="732">
        <f t="shared" si="199"/>
        <v>0</v>
      </c>
      <c r="V210" s="733">
        <f t="shared" si="200"/>
        <v>0</v>
      </c>
      <c r="W210" s="710"/>
      <c r="X210" s="711"/>
      <c r="Y210" s="732">
        <f t="shared" si="201"/>
        <v>0</v>
      </c>
      <c r="Z210" s="733">
        <f t="shared" si="202"/>
        <v>0</v>
      </c>
      <c r="AA210" s="710"/>
      <c r="AB210" s="711"/>
      <c r="AC210" s="732">
        <f t="shared" si="203"/>
        <v>0</v>
      </c>
      <c r="AD210" s="733">
        <f t="shared" si="204"/>
        <v>0</v>
      </c>
      <c r="AE210" s="712"/>
      <c r="AF210" s="711"/>
      <c r="AG210" s="732">
        <f t="shared" si="205"/>
        <v>0</v>
      </c>
      <c r="AH210" s="733">
        <f t="shared" si="206"/>
        <v>0</v>
      </c>
      <c r="AI210" s="712"/>
      <c r="AJ210" s="708"/>
      <c r="AK210" s="733">
        <f t="shared" si="207"/>
        <v>0</v>
      </c>
      <c r="AL210" s="713"/>
    </row>
    <row r="211" spans="2:38" s="527" customFormat="1" outlineLevel="1">
      <c r="B211" s="699">
        <f>'Master BOQ Pricing_2018-01-08'!B211</f>
        <v>13.15</v>
      </c>
      <c r="C211" s="700" t="str">
        <f>'Master BOQ Pricing_2018-01-08'!C211</f>
        <v>Install Pole Mounted Optic Fibre Slack Box</v>
      </c>
      <c r="D211" s="727" t="str">
        <f>'Master BOQ Pricing_2018-01-08'!D211</f>
        <v>ea</v>
      </c>
      <c r="E211" s="702">
        <f>'Master BOQ Pricing_2018-01-08'!E211</f>
        <v>90</v>
      </c>
      <c r="F211" s="887">
        <f>'MATERIAL REQUEST'!F130</f>
        <v>0</v>
      </c>
      <c r="G211" s="704">
        <f t="shared" si="198"/>
        <v>0</v>
      </c>
      <c r="H211" s="728"/>
      <c r="I211" s="617"/>
      <c r="J211" s="728"/>
      <c r="K211" s="617"/>
      <c r="L211" s="728"/>
      <c r="M211" s="617"/>
      <c r="N211" s="728"/>
      <c r="O211" s="617"/>
      <c r="P211" s="728"/>
      <c r="Q211" s="618"/>
      <c r="R211" s="731"/>
      <c r="S211" s="729"/>
      <c r="T211" s="711"/>
      <c r="U211" s="732">
        <f t="shared" si="199"/>
        <v>0</v>
      </c>
      <c r="V211" s="733">
        <f t="shared" si="200"/>
        <v>0</v>
      </c>
      <c r="W211" s="710"/>
      <c r="X211" s="711"/>
      <c r="Y211" s="732">
        <f t="shared" si="201"/>
        <v>0</v>
      </c>
      <c r="Z211" s="733">
        <f t="shared" si="202"/>
        <v>0</v>
      </c>
      <c r="AA211" s="710"/>
      <c r="AB211" s="711"/>
      <c r="AC211" s="732">
        <f t="shared" si="203"/>
        <v>0</v>
      </c>
      <c r="AD211" s="733">
        <f t="shared" si="204"/>
        <v>0</v>
      </c>
      <c r="AE211" s="712"/>
      <c r="AF211" s="711"/>
      <c r="AG211" s="732">
        <f t="shared" si="205"/>
        <v>0</v>
      </c>
      <c r="AH211" s="733">
        <f t="shared" si="206"/>
        <v>0</v>
      </c>
      <c r="AI211" s="712"/>
      <c r="AJ211" s="708"/>
      <c r="AK211" s="733">
        <f t="shared" si="207"/>
        <v>0</v>
      </c>
      <c r="AL211" s="713"/>
    </row>
    <row r="212" spans="2:38" s="527" customFormat="1" outlineLevel="1">
      <c r="B212" s="699">
        <f>'Master BOQ Pricing_2018-01-08'!B212</f>
        <v>13.16</v>
      </c>
      <c r="C212" s="817" t="s">
        <v>948</v>
      </c>
      <c r="D212" s="818"/>
      <c r="E212" s="773"/>
      <c r="F212" s="703"/>
      <c r="G212" s="704">
        <f t="shared" si="198"/>
        <v>0</v>
      </c>
      <c r="H212" s="728"/>
      <c r="I212" s="617"/>
      <c r="J212" s="728"/>
      <c r="K212" s="617"/>
      <c r="L212" s="728"/>
      <c r="M212" s="617"/>
      <c r="N212" s="728"/>
      <c r="O212" s="617"/>
      <c r="P212" s="728"/>
      <c r="Q212" s="618"/>
      <c r="R212" s="731"/>
      <c r="S212" s="729"/>
      <c r="T212" s="711"/>
      <c r="U212" s="732">
        <f t="shared" si="199"/>
        <v>0</v>
      </c>
      <c r="V212" s="733">
        <f t="shared" si="200"/>
        <v>0</v>
      </c>
      <c r="W212" s="710"/>
      <c r="X212" s="711"/>
      <c r="Y212" s="732">
        <f t="shared" si="201"/>
        <v>0</v>
      </c>
      <c r="Z212" s="733">
        <f t="shared" si="202"/>
        <v>0</v>
      </c>
      <c r="AA212" s="710"/>
      <c r="AB212" s="711"/>
      <c r="AC212" s="732">
        <f t="shared" si="203"/>
        <v>0</v>
      </c>
      <c r="AD212" s="733">
        <f t="shared" si="204"/>
        <v>0</v>
      </c>
      <c r="AE212" s="712"/>
      <c r="AF212" s="711"/>
      <c r="AG212" s="732">
        <f t="shared" si="205"/>
        <v>0</v>
      </c>
      <c r="AH212" s="733">
        <f t="shared" si="206"/>
        <v>0</v>
      </c>
      <c r="AI212" s="712"/>
      <c r="AJ212" s="708"/>
      <c r="AK212" s="733">
        <f t="shared" si="207"/>
        <v>0</v>
      </c>
      <c r="AL212" s="713"/>
    </row>
    <row r="213" spans="2:38" s="527" customFormat="1">
      <c r="B213" s="741">
        <f>'Master BOQ Pricing_2018-01-08'!B213</f>
        <v>14</v>
      </c>
      <c r="C213" s="742" t="str">
        <f>'Master BOQ Pricing_2018-01-08'!C213</f>
        <v>FTTH FULL TURNKEY PRICING</v>
      </c>
      <c r="D213" s="764"/>
      <c r="E213" s="765"/>
      <c r="F213" s="745"/>
      <c r="G213" s="746">
        <f>SUBTOTAL(9,G214:G229)</f>
        <v>0</v>
      </c>
      <c r="H213" s="747"/>
      <c r="I213" s="815"/>
      <c r="J213" s="747"/>
      <c r="K213" s="815"/>
      <c r="L213" s="747"/>
      <c r="M213" s="815"/>
      <c r="N213" s="747"/>
      <c r="O213" s="815"/>
      <c r="P213" s="747"/>
      <c r="Q213" s="816"/>
      <c r="R213" s="750"/>
      <c r="S213" s="748"/>
      <c r="T213" s="751"/>
      <c r="U213" s="752"/>
      <c r="V213" s="753"/>
      <c r="W213" s="754"/>
      <c r="X213" s="751"/>
      <c r="Y213" s="755"/>
      <c r="Z213" s="756"/>
      <c r="AA213" s="757"/>
      <c r="AB213" s="758"/>
      <c r="AC213" s="755"/>
      <c r="AD213" s="756"/>
      <c r="AE213" s="759"/>
      <c r="AF213" s="758"/>
      <c r="AG213" s="755"/>
      <c r="AH213" s="756"/>
      <c r="AI213" s="759"/>
      <c r="AJ213" s="760"/>
      <c r="AK213" s="756"/>
      <c r="AL213" s="761"/>
    </row>
    <row r="214" spans="2:38" s="527" customFormat="1" ht="27.6" outlineLevel="1">
      <c r="B214" s="699">
        <f>'Master BOQ Pricing_2018-01-08'!B214</f>
        <v>14.01</v>
      </c>
      <c r="C214" s="700" t="str">
        <f>'Master BOQ Pricing_2018-01-08'!C214</f>
        <v>Price1A:  R 3100.00 per Demand Point – payable for a NAP/Drop Point - one side of the road was trenched and road crossings were used to connect the units across the road (Non-gated SDU)</v>
      </c>
      <c r="D214" s="727" t="str">
        <f>'Master BOQ Pricing_2018-01-08'!D214</f>
        <v>ea</v>
      </c>
      <c r="E214" s="702">
        <f>'Master BOQ Pricing_2018-01-08'!E214</f>
        <v>3100</v>
      </c>
      <c r="F214" s="703"/>
      <c r="G214" s="704">
        <f>+F214*E214</f>
        <v>0</v>
      </c>
      <c r="H214" s="728"/>
      <c r="I214" s="617"/>
      <c r="J214" s="728"/>
      <c r="K214" s="617"/>
      <c r="L214" s="728"/>
      <c r="M214" s="617"/>
      <c r="N214" s="728"/>
      <c r="O214" s="617"/>
      <c r="P214" s="728"/>
      <c r="Q214" s="618"/>
      <c r="R214" s="731"/>
      <c r="S214" s="729"/>
      <c r="T214" s="711"/>
      <c r="U214" s="732">
        <f t="shared" ref="U214" si="228">T214+F214</f>
        <v>0</v>
      </c>
      <c r="V214" s="733">
        <f t="shared" ref="V214" si="229">U214*E214</f>
        <v>0</v>
      </c>
      <c r="W214" s="710"/>
      <c r="X214" s="711"/>
      <c r="Y214" s="732">
        <f t="shared" ref="Y214" si="230">X214+U214</f>
        <v>0</v>
      </c>
      <c r="Z214" s="733">
        <f t="shared" ref="Z214" si="231">Y214*E214</f>
        <v>0</v>
      </c>
      <c r="AA214" s="710"/>
      <c r="AB214" s="711"/>
      <c r="AC214" s="732">
        <f t="shared" ref="AC214" si="232">AB214+Y214</f>
        <v>0</v>
      </c>
      <c r="AD214" s="733">
        <f t="shared" ref="AD214" si="233">AC214*E214</f>
        <v>0</v>
      </c>
      <c r="AE214" s="712"/>
      <c r="AF214" s="711"/>
      <c r="AG214" s="732">
        <f t="shared" ref="AG214" si="234">AF214+AC214</f>
        <v>0</v>
      </c>
      <c r="AH214" s="733">
        <f t="shared" ref="AH214" si="235">AG214*E214</f>
        <v>0</v>
      </c>
      <c r="AI214" s="712"/>
      <c r="AJ214" s="708"/>
      <c r="AK214" s="733">
        <f t="shared" ref="AK214" si="236">AJ214*E214</f>
        <v>0</v>
      </c>
      <c r="AL214" s="713"/>
    </row>
    <row r="215" spans="2:38" s="527" customFormat="1" ht="27.6" outlineLevel="1">
      <c r="B215" s="699">
        <f>'Master BOQ Pricing_2018-01-08'!B215</f>
        <v>14.02</v>
      </c>
      <c r="C215" s="700" t="str">
        <f>'Master BOQ Pricing_2018-01-08'!C215</f>
        <v>Price1B:  R 3100.00 per Demand Point – payable for a NAP/Drop Point - both sides of the road was trenched to connect the units on both sides of the road (Non-gated SDU)</v>
      </c>
      <c r="D215" s="727" t="str">
        <f>'Master BOQ Pricing_2018-01-08'!D215</f>
        <v>ea</v>
      </c>
      <c r="E215" s="702">
        <f>'Master BOQ Pricing_2018-01-08'!E215</f>
        <v>3100</v>
      </c>
      <c r="F215" s="703"/>
      <c r="G215" s="704">
        <f t="shared" ref="G215:G229" si="237">+F215*E215</f>
        <v>0</v>
      </c>
      <c r="H215" s="728"/>
      <c r="I215" s="617"/>
      <c r="J215" s="728"/>
      <c r="K215" s="617"/>
      <c r="L215" s="728"/>
      <c r="M215" s="617"/>
      <c r="N215" s="728"/>
      <c r="O215" s="617"/>
      <c r="P215" s="728"/>
      <c r="Q215" s="618"/>
      <c r="R215" s="731"/>
      <c r="S215" s="729"/>
      <c r="T215" s="711"/>
      <c r="U215" s="732">
        <f t="shared" ref="U215:U229" si="238">T215+F215</f>
        <v>0</v>
      </c>
      <c r="V215" s="733">
        <f t="shared" ref="V215:V229" si="239">U215*E215</f>
        <v>0</v>
      </c>
      <c r="W215" s="710"/>
      <c r="X215" s="711"/>
      <c r="Y215" s="732">
        <f t="shared" ref="Y215:Y229" si="240">X215+U215</f>
        <v>0</v>
      </c>
      <c r="Z215" s="733">
        <f t="shared" ref="Z215:Z229" si="241">Y215*E215</f>
        <v>0</v>
      </c>
      <c r="AA215" s="710"/>
      <c r="AB215" s="711"/>
      <c r="AC215" s="732">
        <f t="shared" ref="AC215:AC229" si="242">AB215+Y215</f>
        <v>0</v>
      </c>
      <c r="AD215" s="733">
        <f t="shared" ref="AD215:AD229" si="243">AC215*E215</f>
        <v>0</v>
      </c>
      <c r="AE215" s="712"/>
      <c r="AF215" s="711"/>
      <c r="AG215" s="732">
        <f t="shared" ref="AG215:AG229" si="244">AF215+AC215</f>
        <v>0</v>
      </c>
      <c r="AH215" s="733">
        <f t="shared" ref="AH215:AH229" si="245">AG215*E215</f>
        <v>0</v>
      </c>
      <c r="AI215" s="712"/>
      <c r="AJ215" s="708"/>
      <c r="AK215" s="733">
        <f t="shared" ref="AK215:AK229" si="246">AJ215*E215</f>
        <v>0</v>
      </c>
      <c r="AL215" s="713"/>
    </row>
    <row r="216" spans="2:38" s="527" customFormat="1" ht="27.6" outlineLevel="1">
      <c r="B216" s="699">
        <f>'Master BOQ Pricing_2018-01-08'!B216</f>
        <v>14.03</v>
      </c>
      <c r="C216" s="700" t="str">
        <f>'Master BOQ Pricing_2018-01-08'!C216</f>
        <v>Price2:  R 3100.00 per Demand Point – payable for a NAP/Drop Point (Manhole outside the Gated SDU and MDU Property)</v>
      </c>
      <c r="D216" s="727" t="str">
        <f>'Master BOQ Pricing_2018-01-08'!D216</f>
        <v>ea</v>
      </c>
      <c r="E216" s="702">
        <f>'Master BOQ Pricing_2018-01-08'!E216</f>
        <v>3100</v>
      </c>
      <c r="F216" s="703"/>
      <c r="G216" s="704">
        <f t="shared" si="237"/>
        <v>0</v>
      </c>
      <c r="H216" s="728"/>
      <c r="I216" s="617"/>
      <c r="J216" s="728"/>
      <c r="K216" s="617"/>
      <c r="L216" s="728"/>
      <c r="M216" s="617"/>
      <c r="N216" s="728"/>
      <c r="O216" s="617"/>
      <c r="P216" s="728"/>
      <c r="Q216" s="618"/>
      <c r="R216" s="731"/>
      <c r="S216" s="729"/>
      <c r="T216" s="711"/>
      <c r="U216" s="732">
        <f t="shared" si="238"/>
        <v>0</v>
      </c>
      <c r="V216" s="733">
        <f t="shared" si="239"/>
        <v>0</v>
      </c>
      <c r="W216" s="710"/>
      <c r="X216" s="711"/>
      <c r="Y216" s="732">
        <f t="shared" si="240"/>
        <v>0</v>
      </c>
      <c r="Z216" s="733">
        <f t="shared" si="241"/>
        <v>0</v>
      </c>
      <c r="AA216" s="710"/>
      <c r="AB216" s="711"/>
      <c r="AC216" s="732">
        <f t="shared" si="242"/>
        <v>0</v>
      </c>
      <c r="AD216" s="733">
        <f t="shared" si="243"/>
        <v>0</v>
      </c>
      <c r="AE216" s="712"/>
      <c r="AF216" s="711"/>
      <c r="AG216" s="732">
        <f t="shared" si="244"/>
        <v>0</v>
      </c>
      <c r="AH216" s="733">
        <f t="shared" si="245"/>
        <v>0</v>
      </c>
      <c r="AI216" s="712"/>
      <c r="AJ216" s="708"/>
      <c r="AK216" s="733">
        <f t="shared" si="246"/>
        <v>0</v>
      </c>
      <c r="AL216" s="713"/>
    </row>
    <row r="217" spans="2:38" s="527" customFormat="1" outlineLevel="1">
      <c r="B217" s="699">
        <f>'Master BOQ Pricing_2018-01-08'!B217</f>
        <v>14.04</v>
      </c>
      <c r="C217" s="700" t="str">
        <f>'Master BOQ Pricing_2018-01-08'!C217</f>
        <v>Price3:  R 3100.00 – payable for a NAP/Drop Point outside a business property</v>
      </c>
      <c r="D217" s="727" t="str">
        <f>'Master BOQ Pricing_2018-01-08'!D217</f>
        <v>ea</v>
      </c>
      <c r="E217" s="702">
        <f>'Master BOQ Pricing_2018-01-08'!E217</f>
        <v>3100</v>
      </c>
      <c r="F217" s="703"/>
      <c r="G217" s="704">
        <f t="shared" si="237"/>
        <v>0</v>
      </c>
      <c r="H217" s="728"/>
      <c r="I217" s="617"/>
      <c r="J217" s="728"/>
      <c r="K217" s="617"/>
      <c r="L217" s="728"/>
      <c r="M217" s="617"/>
      <c r="N217" s="728"/>
      <c r="O217" s="617"/>
      <c r="P217" s="728"/>
      <c r="Q217" s="618"/>
      <c r="R217" s="731"/>
      <c r="S217" s="729"/>
      <c r="T217" s="711"/>
      <c r="U217" s="732">
        <f t="shared" si="238"/>
        <v>0</v>
      </c>
      <c r="V217" s="733">
        <f t="shared" si="239"/>
        <v>0</v>
      </c>
      <c r="W217" s="710"/>
      <c r="X217" s="711"/>
      <c r="Y217" s="732">
        <f t="shared" si="240"/>
        <v>0</v>
      </c>
      <c r="Z217" s="733">
        <f t="shared" si="241"/>
        <v>0</v>
      </c>
      <c r="AA217" s="710"/>
      <c r="AB217" s="711"/>
      <c r="AC217" s="732">
        <f t="shared" si="242"/>
        <v>0</v>
      </c>
      <c r="AD217" s="733">
        <f t="shared" si="243"/>
        <v>0</v>
      </c>
      <c r="AE217" s="712"/>
      <c r="AF217" s="711"/>
      <c r="AG217" s="732">
        <f t="shared" si="244"/>
        <v>0</v>
      </c>
      <c r="AH217" s="733">
        <f t="shared" si="245"/>
        <v>0</v>
      </c>
      <c r="AI217" s="712"/>
      <c r="AJ217" s="708"/>
      <c r="AK217" s="733">
        <f t="shared" si="246"/>
        <v>0</v>
      </c>
      <c r="AL217" s="713"/>
    </row>
    <row r="218" spans="2:38" s="527" customFormat="1" ht="27.6" outlineLevel="1">
      <c r="B218" s="699">
        <f>'Master BOQ Pricing_2018-01-08'!B218</f>
        <v>14.05</v>
      </c>
      <c r="C218" s="700" t="str">
        <f>'Master BOQ Pricing_2018-01-08'!C218</f>
        <v>Price9A: R 2650.00 per Demand Point – payable for a NAP/Drop Point - one side of the road was trenched and road crossings were used to connect the units across the road (Non-gated SDU) Civil and Duct works only</v>
      </c>
      <c r="D218" s="727" t="str">
        <f>'Master BOQ Pricing_2018-01-08'!D218</f>
        <v>ea</v>
      </c>
      <c r="E218" s="702">
        <f>'Master BOQ Pricing_2018-01-08'!E218</f>
        <v>2650</v>
      </c>
      <c r="F218" s="703"/>
      <c r="G218" s="704">
        <f t="shared" si="237"/>
        <v>0</v>
      </c>
      <c r="H218" s="728"/>
      <c r="I218" s="617"/>
      <c r="J218" s="728"/>
      <c r="K218" s="617"/>
      <c r="L218" s="728"/>
      <c r="M218" s="617"/>
      <c r="N218" s="728"/>
      <c r="O218" s="617"/>
      <c r="P218" s="728"/>
      <c r="Q218" s="618"/>
      <c r="R218" s="731"/>
      <c r="S218" s="729"/>
      <c r="T218" s="711"/>
      <c r="U218" s="732">
        <f t="shared" si="238"/>
        <v>0</v>
      </c>
      <c r="V218" s="733">
        <f t="shared" si="239"/>
        <v>0</v>
      </c>
      <c r="W218" s="710"/>
      <c r="X218" s="711"/>
      <c r="Y218" s="732">
        <f t="shared" si="240"/>
        <v>0</v>
      </c>
      <c r="Z218" s="733">
        <f t="shared" si="241"/>
        <v>0</v>
      </c>
      <c r="AA218" s="710"/>
      <c r="AB218" s="711"/>
      <c r="AC218" s="732">
        <f t="shared" si="242"/>
        <v>0</v>
      </c>
      <c r="AD218" s="733">
        <f t="shared" si="243"/>
        <v>0</v>
      </c>
      <c r="AE218" s="712"/>
      <c r="AF218" s="711"/>
      <c r="AG218" s="732">
        <f t="shared" si="244"/>
        <v>0</v>
      </c>
      <c r="AH218" s="733">
        <f t="shared" si="245"/>
        <v>0</v>
      </c>
      <c r="AI218" s="712"/>
      <c r="AJ218" s="708"/>
      <c r="AK218" s="733">
        <f t="shared" si="246"/>
        <v>0</v>
      </c>
      <c r="AL218" s="713"/>
    </row>
    <row r="219" spans="2:38" s="527" customFormat="1" ht="27.6" outlineLevel="1">
      <c r="B219" s="699">
        <f>'Master BOQ Pricing_2018-01-08'!B219</f>
        <v>14.06</v>
      </c>
      <c r="C219" s="700" t="str">
        <f>'Master BOQ Pricing_2018-01-08'!C219</f>
        <v>Price9B:  R 2650.00 per Demand Point – payable for a NAP/Drop Point - both sides of the road was trenched to connect the units on both sides of the road (Non-gated SDU) Civil and Duct works only</v>
      </c>
      <c r="D219" s="727" t="str">
        <f>'Master BOQ Pricing_2018-01-08'!D219</f>
        <v>ea</v>
      </c>
      <c r="E219" s="702">
        <f>'Master BOQ Pricing_2018-01-08'!E219</f>
        <v>2650</v>
      </c>
      <c r="F219" s="703"/>
      <c r="G219" s="704">
        <f t="shared" si="237"/>
        <v>0</v>
      </c>
      <c r="H219" s="728"/>
      <c r="I219" s="617"/>
      <c r="J219" s="728"/>
      <c r="K219" s="617"/>
      <c r="L219" s="728"/>
      <c r="M219" s="617"/>
      <c r="N219" s="728"/>
      <c r="O219" s="617"/>
      <c r="P219" s="728"/>
      <c r="Q219" s="618"/>
      <c r="R219" s="731"/>
      <c r="S219" s="729"/>
      <c r="T219" s="711"/>
      <c r="U219" s="732">
        <f t="shared" si="238"/>
        <v>0</v>
      </c>
      <c r="V219" s="733">
        <f t="shared" si="239"/>
        <v>0</v>
      </c>
      <c r="W219" s="710"/>
      <c r="X219" s="711"/>
      <c r="Y219" s="732">
        <f t="shared" si="240"/>
        <v>0</v>
      </c>
      <c r="Z219" s="733">
        <f t="shared" si="241"/>
        <v>0</v>
      </c>
      <c r="AA219" s="710"/>
      <c r="AB219" s="711"/>
      <c r="AC219" s="732">
        <f t="shared" si="242"/>
        <v>0</v>
      </c>
      <c r="AD219" s="733">
        <f t="shared" si="243"/>
        <v>0</v>
      </c>
      <c r="AE219" s="712"/>
      <c r="AF219" s="711"/>
      <c r="AG219" s="732">
        <f t="shared" si="244"/>
        <v>0</v>
      </c>
      <c r="AH219" s="733">
        <f t="shared" si="245"/>
        <v>0</v>
      </c>
      <c r="AI219" s="712"/>
      <c r="AJ219" s="708"/>
      <c r="AK219" s="733">
        <f t="shared" si="246"/>
        <v>0</v>
      </c>
      <c r="AL219" s="713"/>
    </row>
    <row r="220" spans="2:38" s="527" customFormat="1" ht="27.6" outlineLevel="1">
      <c r="B220" s="699">
        <f>'Master BOQ Pricing_2018-01-08'!B220</f>
        <v>14.07</v>
      </c>
      <c r="C220" s="700" t="str">
        <f>'Master BOQ Pricing_2018-01-08'!C220</f>
        <v>Price10A: R 450.00 per Demand Point – payable for a NAP/Drop Point - one side of the road was trenched and road crossings were used to connect the units across the road (Non-gated SDU) Fibre Works only</v>
      </c>
      <c r="D220" s="727" t="str">
        <f>'Master BOQ Pricing_2018-01-08'!D220</f>
        <v>ea</v>
      </c>
      <c r="E220" s="702">
        <f>'Master BOQ Pricing_2018-01-08'!E220</f>
        <v>450</v>
      </c>
      <c r="F220" s="703"/>
      <c r="G220" s="704">
        <f t="shared" si="237"/>
        <v>0</v>
      </c>
      <c r="H220" s="728"/>
      <c r="I220" s="617"/>
      <c r="J220" s="728"/>
      <c r="K220" s="617"/>
      <c r="L220" s="728"/>
      <c r="M220" s="617"/>
      <c r="N220" s="728"/>
      <c r="O220" s="617"/>
      <c r="P220" s="728"/>
      <c r="Q220" s="618"/>
      <c r="R220" s="731"/>
      <c r="S220" s="729"/>
      <c r="T220" s="711"/>
      <c r="U220" s="732">
        <f t="shared" si="238"/>
        <v>0</v>
      </c>
      <c r="V220" s="733">
        <f t="shared" si="239"/>
        <v>0</v>
      </c>
      <c r="W220" s="710"/>
      <c r="X220" s="711"/>
      <c r="Y220" s="732">
        <f t="shared" si="240"/>
        <v>0</v>
      </c>
      <c r="Z220" s="733">
        <f t="shared" si="241"/>
        <v>0</v>
      </c>
      <c r="AA220" s="710"/>
      <c r="AB220" s="711"/>
      <c r="AC220" s="732">
        <f t="shared" si="242"/>
        <v>0</v>
      </c>
      <c r="AD220" s="733">
        <f t="shared" si="243"/>
        <v>0</v>
      </c>
      <c r="AE220" s="712"/>
      <c r="AF220" s="711"/>
      <c r="AG220" s="732">
        <f t="shared" si="244"/>
        <v>0</v>
      </c>
      <c r="AH220" s="733">
        <f t="shared" si="245"/>
        <v>0</v>
      </c>
      <c r="AI220" s="712"/>
      <c r="AJ220" s="708"/>
      <c r="AK220" s="733">
        <f t="shared" si="246"/>
        <v>0</v>
      </c>
      <c r="AL220" s="713"/>
    </row>
    <row r="221" spans="2:38" s="527" customFormat="1" ht="27.6" outlineLevel="1">
      <c r="B221" s="699">
        <f>'Master BOQ Pricing_2018-01-08'!B221</f>
        <v>14.08</v>
      </c>
      <c r="C221" s="700" t="str">
        <f>'Master BOQ Pricing_2018-01-08'!C221</f>
        <v>Price10B: R 450.00 per Demand Point – payable for a NAP/Drop Point - both sides of the road was trenched to connect the units on both sides of the road (Non-gated SDU) Fibre Works only</v>
      </c>
      <c r="D221" s="727" t="str">
        <f>'Master BOQ Pricing_2018-01-08'!D221</f>
        <v>ea</v>
      </c>
      <c r="E221" s="702">
        <f>'Master BOQ Pricing_2018-01-08'!E221</f>
        <v>450</v>
      </c>
      <c r="F221" s="703"/>
      <c r="G221" s="704">
        <f t="shared" si="237"/>
        <v>0</v>
      </c>
      <c r="H221" s="728"/>
      <c r="I221" s="617"/>
      <c r="J221" s="728"/>
      <c r="K221" s="617"/>
      <c r="L221" s="728"/>
      <c r="M221" s="617"/>
      <c r="N221" s="728"/>
      <c r="O221" s="617"/>
      <c r="P221" s="728"/>
      <c r="Q221" s="618"/>
      <c r="R221" s="731"/>
      <c r="S221" s="729"/>
      <c r="T221" s="711"/>
      <c r="U221" s="732">
        <f t="shared" si="238"/>
        <v>0</v>
      </c>
      <c r="V221" s="733">
        <f t="shared" si="239"/>
        <v>0</v>
      </c>
      <c r="W221" s="710"/>
      <c r="X221" s="711"/>
      <c r="Y221" s="732">
        <f t="shared" si="240"/>
        <v>0</v>
      </c>
      <c r="Z221" s="733">
        <f t="shared" si="241"/>
        <v>0</v>
      </c>
      <c r="AA221" s="710"/>
      <c r="AB221" s="711"/>
      <c r="AC221" s="732">
        <f t="shared" si="242"/>
        <v>0</v>
      </c>
      <c r="AD221" s="733">
        <f t="shared" si="243"/>
        <v>0</v>
      </c>
      <c r="AE221" s="712"/>
      <c r="AF221" s="711"/>
      <c r="AG221" s="732">
        <f t="shared" si="244"/>
        <v>0</v>
      </c>
      <c r="AH221" s="733">
        <f t="shared" si="245"/>
        <v>0</v>
      </c>
      <c r="AI221" s="712"/>
      <c r="AJ221" s="708"/>
      <c r="AK221" s="733">
        <f t="shared" si="246"/>
        <v>0</v>
      </c>
      <c r="AL221" s="713"/>
    </row>
    <row r="222" spans="2:38" s="527" customFormat="1" outlineLevel="1">
      <c r="B222" s="699">
        <f>'Master BOQ Pricing_2018-01-08'!B222</f>
        <v>14.09</v>
      </c>
      <c r="C222" s="700" t="str">
        <f>'Master BOQ Pricing_2018-01-08'!C222</f>
        <v>Price4A:  R 1800.00 per DP – payable for a MDU complex</v>
      </c>
      <c r="D222" s="727" t="str">
        <f>'Master BOQ Pricing_2018-01-08'!D222</f>
        <v>ea</v>
      </c>
      <c r="E222" s="702">
        <f>'Master BOQ Pricing_2018-01-08'!E222</f>
        <v>1800</v>
      </c>
      <c r="F222" s="703"/>
      <c r="G222" s="704">
        <f t="shared" si="237"/>
        <v>0</v>
      </c>
      <c r="H222" s="728"/>
      <c r="I222" s="617"/>
      <c r="J222" s="728"/>
      <c r="K222" s="617"/>
      <c r="L222" s="728"/>
      <c r="M222" s="617"/>
      <c r="N222" s="728"/>
      <c r="O222" s="617"/>
      <c r="P222" s="728"/>
      <c r="Q222" s="618"/>
      <c r="R222" s="731"/>
      <c r="S222" s="729"/>
      <c r="T222" s="711"/>
      <c r="U222" s="732">
        <f t="shared" si="238"/>
        <v>0</v>
      </c>
      <c r="V222" s="733">
        <f t="shared" si="239"/>
        <v>0</v>
      </c>
      <c r="W222" s="710"/>
      <c r="X222" s="711"/>
      <c r="Y222" s="732">
        <f t="shared" si="240"/>
        <v>0</v>
      </c>
      <c r="Z222" s="733">
        <f t="shared" si="241"/>
        <v>0</v>
      </c>
      <c r="AA222" s="710"/>
      <c r="AB222" s="711"/>
      <c r="AC222" s="732">
        <f t="shared" si="242"/>
        <v>0</v>
      </c>
      <c r="AD222" s="733">
        <f t="shared" si="243"/>
        <v>0</v>
      </c>
      <c r="AE222" s="712"/>
      <c r="AF222" s="711"/>
      <c r="AG222" s="732">
        <f t="shared" si="244"/>
        <v>0</v>
      </c>
      <c r="AH222" s="733">
        <f t="shared" si="245"/>
        <v>0</v>
      </c>
      <c r="AI222" s="712"/>
      <c r="AJ222" s="708"/>
      <c r="AK222" s="733">
        <f t="shared" si="246"/>
        <v>0</v>
      </c>
      <c r="AL222" s="713"/>
    </row>
    <row r="223" spans="2:38" s="527" customFormat="1" ht="27.6" outlineLevel="1">
      <c r="B223" s="699">
        <f>'Master BOQ Pricing_2018-01-08'!B223</f>
        <v>14.1</v>
      </c>
      <c r="C223" s="700" t="str">
        <f>'Master BOQ Pricing_2018-01-08'!C223</f>
        <v>Price4B:  R 1800.00 per DP – payable for a Gated SDU complex with existing ducts or where above ground deployment can be used no trenching required (brown for all units)</v>
      </c>
      <c r="D223" s="727" t="str">
        <f>'Master BOQ Pricing_2018-01-08'!D223</f>
        <v>ea</v>
      </c>
      <c r="E223" s="702">
        <f>'Master BOQ Pricing_2018-01-08'!E223</f>
        <v>1800</v>
      </c>
      <c r="F223" s="703"/>
      <c r="G223" s="704">
        <f t="shared" si="237"/>
        <v>0</v>
      </c>
      <c r="H223" s="728"/>
      <c r="I223" s="617"/>
      <c r="J223" s="728"/>
      <c r="K223" s="617"/>
      <c r="L223" s="728"/>
      <c r="M223" s="617"/>
      <c r="N223" s="728"/>
      <c r="O223" s="617"/>
      <c r="P223" s="728"/>
      <c r="Q223" s="618"/>
      <c r="R223" s="731"/>
      <c r="S223" s="729"/>
      <c r="T223" s="711"/>
      <c r="U223" s="732">
        <f t="shared" si="238"/>
        <v>0</v>
      </c>
      <c r="V223" s="733">
        <f t="shared" si="239"/>
        <v>0</v>
      </c>
      <c r="W223" s="710"/>
      <c r="X223" s="711"/>
      <c r="Y223" s="732">
        <f t="shared" si="240"/>
        <v>0</v>
      </c>
      <c r="Z223" s="733">
        <f t="shared" si="241"/>
        <v>0</v>
      </c>
      <c r="AA223" s="710"/>
      <c r="AB223" s="711"/>
      <c r="AC223" s="732">
        <f t="shared" si="242"/>
        <v>0</v>
      </c>
      <c r="AD223" s="733">
        <f t="shared" si="243"/>
        <v>0</v>
      </c>
      <c r="AE223" s="712"/>
      <c r="AF223" s="711"/>
      <c r="AG223" s="732">
        <f t="shared" si="244"/>
        <v>0</v>
      </c>
      <c r="AH223" s="733">
        <f t="shared" si="245"/>
        <v>0</v>
      </c>
      <c r="AI223" s="712"/>
      <c r="AJ223" s="708"/>
      <c r="AK223" s="733">
        <f t="shared" si="246"/>
        <v>0</v>
      </c>
      <c r="AL223" s="713"/>
    </row>
    <row r="224" spans="2:38" s="527" customFormat="1" ht="27.6" outlineLevel="1">
      <c r="B224" s="699" t="str">
        <f>'Master BOQ Pricing_2018-01-08'!B224</f>
        <v>14,10,1</v>
      </c>
      <c r="C224" s="700" t="str">
        <f>'Master BOQ Pricing_2018-01-08'!C224</f>
        <v>Price4C:  R 200.00 per DP – Survey and Planning : payable for a Gated SDU complex with existing ducts or where above ground deployment can be used no trenching required (brown for all units)</v>
      </c>
      <c r="D224" s="727" t="str">
        <f>'Master BOQ Pricing_2018-01-08'!D224</f>
        <v>ea</v>
      </c>
      <c r="E224" s="702">
        <f>'Master BOQ Pricing_2018-01-08'!E224</f>
        <v>200</v>
      </c>
      <c r="F224" s="703"/>
      <c r="G224" s="704">
        <f t="shared" ref="G224:G226" si="247">+F224*E224</f>
        <v>0</v>
      </c>
      <c r="H224" s="728"/>
      <c r="I224" s="617"/>
      <c r="J224" s="728"/>
      <c r="K224" s="617"/>
      <c r="L224" s="728"/>
      <c r="M224" s="617"/>
      <c r="N224" s="728"/>
      <c r="O224" s="617"/>
      <c r="P224" s="728"/>
      <c r="Q224" s="618"/>
      <c r="R224" s="731"/>
      <c r="S224" s="729"/>
      <c r="T224" s="711"/>
      <c r="U224" s="732">
        <f t="shared" ref="U224:U226" si="248">T224+F224</f>
        <v>0</v>
      </c>
      <c r="V224" s="733">
        <f t="shared" ref="V224:V226" si="249">U224*E224</f>
        <v>0</v>
      </c>
      <c r="W224" s="710"/>
      <c r="X224" s="711"/>
      <c r="Y224" s="732">
        <f t="shared" ref="Y224:Y226" si="250">X224+U224</f>
        <v>0</v>
      </c>
      <c r="Z224" s="733">
        <f t="shared" ref="Z224:Z226" si="251">Y224*E224</f>
        <v>0</v>
      </c>
      <c r="AA224" s="710"/>
      <c r="AB224" s="711"/>
      <c r="AC224" s="732">
        <f t="shared" ref="AC224:AC226" si="252">AB224+Y224</f>
        <v>0</v>
      </c>
      <c r="AD224" s="733">
        <f t="shared" ref="AD224:AD226" si="253">AC224*E224</f>
        <v>0</v>
      </c>
      <c r="AE224" s="712"/>
      <c r="AF224" s="711"/>
      <c r="AG224" s="732">
        <f t="shared" ref="AG224:AG226" si="254">AF224+AC224</f>
        <v>0</v>
      </c>
      <c r="AH224" s="733">
        <f t="shared" ref="AH224:AH226" si="255">AG224*E224</f>
        <v>0</v>
      </c>
      <c r="AI224" s="712"/>
      <c r="AJ224" s="708"/>
      <c r="AK224" s="733">
        <f t="shared" ref="AK224:AK226" si="256">AJ224*E224</f>
        <v>0</v>
      </c>
      <c r="AL224" s="713"/>
    </row>
    <row r="225" spans="2:38" s="527" customFormat="1" ht="27.6" outlineLevel="1">
      <c r="B225" s="699" t="str">
        <f>'Master BOQ Pricing_2018-01-08'!B225</f>
        <v>14,10,2</v>
      </c>
      <c r="C225" s="700" t="str">
        <f>'Master BOQ Pricing_2018-01-08'!C225</f>
        <v>Price4D:  R 1600.00 per DP – Build Only : payable for a Gated SDU complex with existing ducts or where above ground deployment can be used no trenching required (brown for all units)</v>
      </c>
      <c r="D225" s="727" t="str">
        <f>'Master BOQ Pricing_2018-01-08'!D225</f>
        <v>ea</v>
      </c>
      <c r="E225" s="702">
        <f>'Master BOQ Pricing_2018-01-08'!E225</f>
        <v>1600</v>
      </c>
      <c r="F225" s="703"/>
      <c r="G225" s="704">
        <f t="shared" si="247"/>
        <v>0</v>
      </c>
      <c r="H225" s="728"/>
      <c r="I225" s="617"/>
      <c r="J225" s="728"/>
      <c r="K225" s="617"/>
      <c r="L225" s="728"/>
      <c r="M225" s="617"/>
      <c r="N225" s="728"/>
      <c r="O225" s="617"/>
      <c r="P225" s="728"/>
      <c r="Q225" s="618"/>
      <c r="R225" s="731"/>
      <c r="S225" s="729"/>
      <c r="T225" s="711"/>
      <c r="U225" s="732">
        <f t="shared" si="248"/>
        <v>0</v>
      </c>
      <c r="V225" s="733">
        <f t="shared" si="249"/>
        <v>0</v>
      </c>
      <c r="W225" s="710"/>
      <c r="X225" s="711"/>
      <c r="Y225" s="732">
        <f t="shared" si="250"/>
        <v>0</v>
      </c>
      <c r="Z225" s="733">
        <f t="shared" si="251"/>
        <v>0</v>
      </c>
      <c r="AA225" s="710"/>
      <c r="AB225" s="711"/>
      <c r="AC225" s="732">
        <f t="shared" si="252"/>
        <v>0</v>
      </c>
      <c r="AD225" s="733">
        <f t="shared" si="253"/>
        <v>0</v>
      </c>
      <c r="AE225" s="712"/>
      <c r="AF225" s="711"/>
      <c r="AG225" s="732">
        <f t="shared" si="254"/>
        <v>0</v>
      </c>
      <c r="AH225" s="733">
        <f t="shared" si="255"/>
        <v>0</v>
      </c>
      <c r="AI225" s="712"/>
      <c r="AJ225" s="708"/>
      <c r="AK225" s="733">
        <f t="shared" si="256"/>
        <v>0</v>
      </c>
      <c r="AL225" s="713"/>
    </row>
    <row r="226" spans="2:38" s="527" customFormat="1" outlineLevel="1">
      <c r="B226" s="699">
        <f>'Master BOQ Pricing_2018-01-08'!B226</f>
        <v>14.11</v>
      </c>
      <c r="C226" s="700" t="str">
        <f>'Master BOQ Pricing_2018-01-08'!C226</f>
        <v>Price5:  R 2800.00 per DP – payable for a gated SDU complex where trenching is required</v>
      </c>
      <c r="D226" s="727" t="str">
        <f>'Master BOQ Pricing_2018-01-08'!D226</f>
        <v>ea</v>
      </c>
      <c r="E226" s="702">
        <f>'Master BOQ Pricing_2018-01-08'!E226</f>
        <v>2800</v>
      </c>
      <c r="F226" s="703"/>
      <c r="G226" s="704">
        <f t="shared" si="247"/>
        <v>0</v>
      </c>
      <c r="H226" s="728"/>
      <c r="I226" s="617"/>
      <c r="J226" s="728"/>
      <c r="K226" s="617"/>
      <c r="L226" s="728"/>
      <c r="M226" s="617"/>
      <c r="N226" s="728"/>
      <c r="O226" s="617"/>
      <c r="P226" s="728"/>
      <c r="Q226" s="618"/>
      <c r="R226" s="731"/>
      <c r="S226" s="729"/>
      <c r="T226" s="711"/>
      <c r="U226" s="732">
        <f t="shared" si="248"/>
        <v>0</v>
      </c>
      <c r="V226" s="733">
        <f t="shared" si="249"/>
        <v>0</v>
      </c>
      <c r="W226" s="710"/>
      <c r="X226" s="711"/>
      <c r="Y226" s="732">
        <f t="shared" si="250"/>
        <v>0</v>
      </c>
      <c r="Z226" s="733">
        <f t="shared" si="251"/>
        <v>0</v>
      </c>
      <c r="AA226" s="710"/>
      <c r="AB226" s="711"/>
      <c r="AC226" s="732">
        <f t="shared" si="252"/>
        <v>0</v>
      </c>
      <c r="AD226" s="733">
        <f t="shared" si="253"/>
        <v>0</v>
      </c>
      <c r="AE226" s="712"/>
      <c r="AF226" s="711"/>
      <c r="AG226" s="732">
        <f t="shared" si="254"/>
        <v>0</v>
      </c>
      <c r="AH226" s="733">
        <f t="shared" si="255"/>
        <v>0</v>
      </c>
      <c r="AI226" s="712"/>
      <c r="AJ226" s="708"/>
      <c r="AK226" s="733">
        <f t="shared" si="256"/>
        <v>0</v>
      </c>
      <c r="AL226" s="713"/>
    </row>
    <row r="227" spans="2:38" s="527" customFormat="1" outlineLevel="1">
      <c r="B227" s="699">
        <f>'Master BOQ Pricing_2018-01-08'!B227</f>
        <v>14.12</v>
      </c>
      <c r="C227" s="700" t="str">
        <f>'Master BOQ Pricing_2018-01-08'!C227</f>
        <v>Price6:  R 3000.00 per DP – payable for a complex not P4 or P5 e.g. forms of trench in a townhouse complex</v>
      </c>
      <c r="D227" s="727" t="str">
        <f>'Master BOQ Pricing_2018-01-08'!D227</f>
        <v>ea</v>
      </c>
      <c r="E227" s="702">
        <f>'Master BOQ Pricing_2018-01-08'!E227</f>
        <v>3000</v>
      </c>
      <c r="F227" s="703"/>
      <c r="G227" s="704">
        <f t="shared" si="237"/>
        <v>0</v>
      </c>
      <c r="H227" s="728"/>
      <c r="I227" s="617"/>
      <c r="J227" s="728"/>
      <c r="K227" s="617"/>
      <c r="L227" s="728"/>
      <c r="M227" s="617"/>
      <c r="N227" s="728"/>
      <c r="O227" s="617"/>
      <c r="P227" s="728"/>
      <c r="Q227" s="618"/>
      <c r="R227" s="731"/>
      <c r="S227" s="729"/>
      <c r="T227" s="711"/>
      <c r="U227" s="732">
        <f t="shared" si="238"/>
        <v>0</v>
      </c>
      <c r="V227" s="733">
        <f t="shared" si="239"/>
        <v>0</v>
      </c>
      <c r="W227" s="710"/>
      <c r="X227" s="711"/>
      <c r="Y227" s="732">
        <f t="shared" si="240"/>
        <v>0</v>
      </c>
      <c r="Z227" s="733">
        <f t="shared" si="241"/>
        <v>0</v>
      </c>
      <c r="AA227" s="710"/>
      <c r="AB227" s="711"/>
      <c r="AC227" s="732">
        <f t="shared" si="242"/>
        <v>0</v>
      </c>
      <c r="AD227" s="733">
        <f t="shared" si="243"/>
        <v>0</v>
      </c>
      <c r="AE227" s="712"/>
      <c r="AF227" s="711"/>
      <c r="AG227" s="732">
        <f t="shared" si="244"/>
        <v>0</v>
      </c>
      <c r="AH227" s="733">
        <f t="shared" si="245"/>
        <v>0</v>
      </c>
      <c r="AI227" s="712"/>
      <c r="AJ227" s="708"/>
      <c r="AK227" s="733">
        <f t="shared" si="246"/>
        <v>0</v>
      </c>
      <c r="AL227" s="713"/>
    </row>
    <row r="228" spans="2:38" s="527" customFormat="1" outlineLevel="1">
      <c r="B228" s="699">
        <f>'Master BOQ Pricing_2018-01-08'!B228</f>
        <v>14.13</v>
      </c>
      <c r="C228" s="700" t="str">
        <f>'Master BOQ Pricing_2018-01-08'!C228</f>
        <v>Price7:  R 900.00 per FTB – payable per MDU Last Drop Completed</v>
      </c>
      <c r="D228" s="727" t="str">
        <f>'Master BOQ Pricing_2018-01-08'!D228</f>
        <v>ea</v>
      </c>
      <c r="E228" s="702">
        <f>'Master BOQ Pricing_2018-01-08'!E228</f>
        <v>900</v>
      </c>
      <c r="F228" s="703"/>
      <c r="G228" s="704">
        <f t="shared" si="237"/>
        <v>0</v>
      </c>
      <c r="H228" s="728"/>
      <c r="I228" s="617"/>
      <c r="J228" s="728"/>
      <c r="K228" s="617"/>
      <c r="L228" s="728"/>
      <c r="M228" s="617"/>
      <c r="N228" s="728"/>
      <c r="O228" s="617"/>
      <c r="P228" s="728"/>
      <c r="Q228" s="618"/>
      <c r="R228" s="731"/>
      <c r="S228" s="729"/>
      <c r="T228" s="711"/>
      <c r="U228" s="732">
        <f t="shared" si="238"/>
        <v>0</v>
      </c>
      <c r="V228" s="733">
        <f t="shared" si="239"/>
        <v>0</v>
      </c>
      <c r="W228" s="710"/>
      <c r="X228" s="711"/>
      <c r="Y228" s="732">
        <f t="shared" si="240"/>
        <v>0</v>
      </c>
      <c r="Z228" s="733">
        <f t="shared" si="241"/>
        <v>0</v>
      </c>
      <c r="AA228" s="710"/>
      <c r="AB228" s="711"/>
      <c r="AC228" s="732">
        <f t="shared" si="242"/>
        <v>0</v>
      </c>
      <c r="AD228" s="733">
        <f t="shared" si="243"/>
        <v>0</v>
      </c>
      <c r="AE228" s="712"/>
      <c r="AF228" s="711"/>
      <c r="AG228" s="732">
        <f t="shared" si="244"/>
        <v>0</v>
      </c>
      <c r="AH228" s="733">
        <f t="shared" si="245"/>
        <v>0</v>
      </c>
      <c r="AI228" s="712"/>
      <c r="AJ228" s="708"/>
      <c r="AK228" s="733">
        <f t="shared" si="246"/>
        <v>0</v>
      </c>
      <c r="AL228" s="713"/>
    </row>
    <row r="229" spans="2:38" s="527" customFormat="1" outlineLevel="1">
      <c r="B229" s="699">
        <f>'Master BOQ Pricing_2018-01-08'!B229</f>
        <v>14.14</v>
      </c>
      <c r="C229" s="700" t="str">
        <f>'Master BOQ Pricing_2018-01-08'!C229</f>
        <v>Price8:  R 1 500.00 per FTB – payable per SDU Last Drop Completed</v>
      </c>
      <c r="D229" s="727" t="str">
        <f>'Master BOQ Pricing_2018-01-08'!D229</f>
        <v>ea</v>
      </c>
      <c r="E229" s="702">
        <f>'Master BOQ Pricing_2018-01-08'!E229</f>
        <v>1500</v>
      </c>
      <c r="F229" s="703"/>
      <c r="G229" s="704">
        <f t="shared" si="237"/>
        <v>0</v>
      </c>
      <c r="H229" s="728"/>
      <c r="I229" s="617"/>
      <c r="J229" s="728"/>
      <c r="K229" s="617"/>
      <c r="L229" s="728"/>
      <c r="M229" s="617"/>
      <c r="N229" s="728"/>
      <c r="O229" s="617"/>
      <c r="P229" s="728"/>
      <c r="Q229" s="618"/>
      <c r="R229" s="731"/>
      <c r="S229" s="729"/>
      <c r="T229" s="711"/>
      <c r="U229" s="732">
        <f t="shared" si="238"/>
        <v>0</v>
      </c>
      <c r="V229" s="733">
        <f t="shared" si="239"/>
        <v>0</v>
      </c>
      <c r="W229" s="710"/>
      <c r="X229" s="711"/>
      <c r="Y229" s="732">
        <f t="shared" si="240"/>
        <v>0</v>
      </c>
      <c r="Z229" s="733">
        <f t="shared" si="241"/>
        <v>0</v>
      </c>
      <c r="AA229" s="710"/>
      <c r="AB229" s="711"/>
      <c r="AC229" s="732">
        <f t="shared" si="242"/>
        <v>0</v>
      </c>
      <c r="AD229" s="733">
        <f t="shared" si="243"/>
        <v>0</v>
      </c>
      <c r="AE229" s="712"/>
      <c r="AF229" s="711"/>
      <c r="AG229" s="732">
        <f t="shared" si="244"/>
        <v>0</v>
      </c>
      <c r="AH229" s="733">
        <f t="shared" si="245"/>
        <v>0</v>
      </c>
      <c r="AI229" s="712"/>
      <c r="AJ229" s="708"/>
      <c r="AK229" s="733">
        <f t="shared" si="246"/>
        <v>0</v>
      </c>
      <c r="AL229" s="713"/>
    </row>
    <row r="230" spans="2:38" s="527" customFormat="1">
      <c r="B230" s="741">
        <f>'Master BOQ Pricing_2018-01-08'!B230</f>
        <v>15</v>
      </c>
      <c r="C230" s="742" t="str">
        <f>'Master BOQ Pricing_2018-01-08'!C230</f>
        <v>AS-BUILT DOCUMENTATION</v>
      </c>
      <c r="D230" s="764"/>
      <c r="E230" s="765"/>
      <c r="F230" s="745"/>
      <c r="G230" s="746">
        <f>SUBTOTAL(9,G231:G233)</f>
        <v>0</v>
      </c>
      <c r="H230" s="747"/>
      <c r="I230" s="748"/>
      <c r="J230" s="747"/>
      <c r="K230" s="748"/>
      <c r="L230" s="747"/>
      <c r="M230" s="748"/>
      <c r="N230" s="747"/>
      <c r="O230" s="748"/>
      <c r="P230" s="747"/>
      <c r="Q230" s="749"/>
      <c r="R230" s="750"/>
      <c r="S230" s="748"/>
      <c r="T230" s="751"/>
      <c r="U230" s="752"/>
      <c r="V230" s="753"/>
      <c r="W230" s="754"/>
      <c r="X230" s="751"/>
      <c r="Y230" s="755"/>
      <c r="Z230" s="756"/>
      <c r="AA230" s="757"/>
      <c r="AB230" s="758"/>
      <c r="AC230" s="755"/>
      <c r="AD230" s="756"/>
      <c r="AE230" s="759"/>
      <c r="AF230" s="758"/>
      <c r="AG230" s="755"/>
      <c r="AH230" s="756"/>
      <c r="AI230" s="759"/>
      <c r="AJ230" s="760"/>
      <c r="AK230" s="756"/>
      <c r="AL230" s="761"/>
    </row>
    <row r="231" spans="2:38" s="527" customFormat="1" outlineLevel="1">
      <c r="B231" s="699">
        <f>'Master BOQ Pricing_2018-01-08'!B231</f>
        <v>15.01</v>
      </c>
      <c r="C231" s="700" t="str">
        <f>'Master BOQ Pricing_2018-01-08'!C231</f>
        <v>Complete ISP as-built documents</v>
      </c>
      <c r="D231" s="727" t="str">
        <f>'Master BOQ Pricing_2018-01-08'!D231</f>
        <v>ea</v>
      </c>
      <c r="E231" s="702">
        <f>'Master BOQ Pricing_2018-01-08'!E231</f>
        <v>1000</v>
      </c>
      <c r="F231" s="703"/>
      <c r="G231" s="704">
        <f t="shared" ref="G231:G233" si="257">+F231*E231</f>
        <v>0</v>
      </c>
      <c r="H231" s="728"/>
      <c r="I231" s="729"/>
      <c r="J231" s="728"/>
      <c r="K231" s="729"/>
      <c r="L231" s="728"/>
      <c r="M231" s="729"/>
      <c r="N231" s="728"/>
      <c r="O231" s="729"/>
      <c r="P231" s="728"/>
      <c r="Q231" s="730"/>
      <c r="R231" s="731"/>
      <c r="S231" s="729"/>
      <c r="T231" s="711"/>
      <c r="U231" s="732">
        <f>T231+F231</f>
        <v>0</v>
      </c>
      <c r="V231" s="733">
        <f>U231*E231</f>
        <v>0</v>
      </c>
      <c r="W231" s="710"/>
      <c r="X231" s="711"/>
      <c r="Y231" s="732">
        <f>X231+U231</f>
        <v>0</v>
      </c>
      <c r="Z231" s="733">
        <f>Y231*E231</f>
        <v>0</v>
      </c>
      <c r="AA231" s="710"/>
      <c r="AB231" s="711"/>
      <c r="AC231" s="732">
        <f>AB231+Y231</f>
        <v>0</v>
      </c>
      <c r="AD231" s="733">
        <f>AC231*E231</f>
        <v>0</v>
      </c>
      <c r="AE231" s="712"/>
      <c r="AF231" s="711"/>
      <c r="AG231" s="732">
        <f>AF231+AC231</f>
        <v>0</v>
      </c>
      <c r="AH231" s="733">
        <f>AG231*E231</f>
        <v>0</v>
      </c>
      <c r="AI231" s="712"/>
      <c r="AJ231" s="708"/>
      <c r="AK231" s="733">
        <f>AJ231*E231</f>
        <v>0</v>
      </c>
      <c r="AL231" s="713"/>
    </row>
    <row r="232" spans="2:38" s="527" customFormat="1" outlineLevel="1">
      <c r="B232" s="699">
        <f>'Master BOQ Pricing_2018-01-08'!B232</f>
        <v>15.02</v>
      </c>
      <c r="C232" s="700" t="str">
        <f>'Master BOQ Pricing_2018-01-08'!C232</f>
        <v>Complete OSP as-built information</v>
      </c>
      <c r="D232" s="727" t="str">
        <f>'Master BOQ Pricing_2018-01-08'!D232</f>
        <v>ea</v>
      </c>
      <c r="E232" s="702">
        <f>'Master BOQ Pricing_2018-01-08'!E232</f>
        <v>1000</v>
      </c>
      <c r="F232" s="703"/>
      <c r="G232" s="704">
        <f t="shared" si="257"/>
        <v>0</v>
      </c>
      <c r="H232" s="728"/>
      <c r="I232" s="729"/>
      <c r="J232" s="728"/>
      <c r="K232" s="729"/>
      <c r="L232" s="728"/>
      <c r="M232" s="729"/>
      <c r="N232" s="728"/>
      <c r="O232" s="729"/>
      <c r="P232" s="728"/>
      <c r="Q232" s="730"/>
      <c r="R232" s="731"/>
      <c r="S232" s="729"/>
      <c r="T232" s="711"/>
      <c r="U232" s="732">
        <f t="shared" ref="U232:U233" si="258">T232+F232</f>
        <v>0</v>
      </c>
      <c r="V232" s="733">
        <f t="shared" ref="V232:V233" si="259">U232*E232</f>
        <v>0</v>
      </c>
      <c r="W232" s="710"/>
      <c r="X232" s="711"/>
      <c r="Y232" s="732">
        <f>X232+U232</f>
        <v>0</v>
      </c>
      <c r="Z232" s="733">
        <f>Y232*E232</f>
        <v>0</v>
      </c>
      <c r="AA232" s="710"/>
      <c r="AB232" s="711"/>
      <c r="AC232" s="732">
        <f>AB232+Y232</f>
        <v>0</v>
      </c>
      <c r="AD232" s="733">
        <f>AC232*E232</f>
        <v>0</v>
      </c>
      <c r="AE232" s="712"/>
      <c r="AF232" s="711"/>
      <c r="AG232" s="732">
        <f>AF232+AC232</f>
        <v>0</v>
      </c>
      <c r="AH232" s="733">
        <f>AG232*E232</f>
        <v>0</v>
      </c>
      <c r="AI232" s="712"/>
      <c r="AJ232" s="708"/>
      <c r="AK232" s="733">
        <f>AJ232*E232</f>
        <v>0</v>
      </c>
      <c r="AL232" s="713"/>
    </row>
    <row r="233" spans="2:38" s="527" customFormat="1" outlineLevel="1">
      <c r="B233" s="699">
        <f>'Master BOQ Pricing_2018-01-08'!B233</f>
        <v>15.03</v>
      </c>
      <c r="C233" s="700" t="str">
        <f>'Master BOQ Pricing_2018-01-08'!C233</f>
        <v>Complete ISP as-built documents (FTTX)</v>
      </c>
      <c r="D233" s="727" t="str">
        <f>'Master BOQ Pricing_2018-01-08'!D233</f>
        <v>ea</v>
      </c>
      <c r="E233" s="702">
        <f>'Master BOQ Pricing_2018-01-08'!E233</f>
        <v>250</v>
      </c>
      <c r="F233" s="703"/>
      <c r="G233" s="704">
        <f t="shared" si="257"/>
        <v>0</v>
      </c>
      <c r="H233" s="728"/>
      <c r="I233" s="729"/>
      <c r="J233" s="728"/>
      <c r="K233" s="729"/>
      <c r="L233" s="728"/>
      <c r="M233" s="729"/>
      <c r="N233" s="728"/>
      <c r="O233" s="729"/>
      <c r="P233" s="728"/>
      <c r="Q233" s="730"/>
      <c r="R233" s="731"/>
      <c r="S233" s="729"/>
      <c r="T233" s="711"/>
      <c r="U233" s="732">
        <f t="shared" si="258"/>
        <v>0</v>
      </c>
      <c r="V233" s="733">
        <f t="shared" si="259"/>
        <v>0</v>
      </c>
      <c r="W233" s="710"/>
      <c r="X233" s="711"/>
      <c r="Y233" s="732">
        <f>X233+U233</f>
        <v>0</v>
      </c>
      <c r="Z233" s="733">
        <f>Y233*E233</f>
        <v>0</v>
      </c>
      <c r="AA233" s="710"/>
      <c r="AB233" s="711"/>
      <c r="AC233" s="732">
        <f>AB233+Y233</f>
        <v>0</v>
      </c>
      <c r="AD233" s="733">
        <f>AC233*E233</f>
        <v>0</v>
      </c>
      <c r="AE233" s="712"/>
      <c r="AF233" s="711"/>
      <c r="AG233" s="732">
        <f>AF233+AC233</f>
        <v>0</v>
      </c>
      <c r="AH233" s="733">
        <f>AG233*E233</f>
        <v>0</v>
      </c>
      <c r="AI233" s="712"/>
      <c r="AJ233" s="708"/>
      <c r="AK233" s="733">
        <f>AJ233*E233</f>
        <v>0</v>
      </c>
      <c r="AL233" s="713"/>
    </row>
    <row r="234" spans="2:38" s="527" customFormat="1">
      <c r="B234" s="741">
        <f>'Master BOQ Pricing_2018-01-08'!B234</f>
        <v>16</v>
      </c>
      <c r="C234" s="742" t="str">
        <f>'Master BOQ Pricing_2018-01-08'!C234</f>
        <v>ADDITIONAL</v>
      </c>
      <c r="D234" s="764"/>
      <c r="E234" s="765"/>
      <c r="F234" s="745"/>
      <c r="G234" s="746">
        <f>SUBTOTAL(9,G235:G245)</f>
        <v>500</v>
      </c>
      <c r="H234" s="747"/>
      <c r="I234" s="815"/>
      <c r="J234" s="747"/>
      <c r="K234" s="815"/>
      <c r="L234" s="747"/>
      <c r="M234" s="815"/>
      <c r="N234" s="747"/>
      <c r="O234" s="815"/>
      <c r="P234" s="747"/>
      <c r="Q234" s="816"/>
      <c r="R234" s="750"/>
      <c r="S234" s="748"/>
      <c r="T234" s="751"/>
      <c r="U234" s="752"/>
      <c r="V234" s="753"/>
      <c r="W234" s="754"/>
      <c r="X234" s="751"/>
      <c r="Y234" s="755"/>
      <c r="Z234" s="756"/>
      <c r="AA234" s="757"/>
      <c r="AB234" s="758"/>
      <c r="AC234" s="755"/>
      <c r="AD234" s="756"/>
      <c r="AE234" s="759"/>
      <c r="AF234" s="758"/>
      <c r="AG234" s="755"/>
      <c r="AH234" s="756"/>
      <c r="AI234" s="759"/>
      <c r="AJ234" s="760"/>
      <c r="AK234" s="756"/>
      <c r="AL234" s="761"/>
    </row>
    <row r="235" spans="2:38" s="527" customFormat="1" outlineLevel="1">
      <c r="B235" s="699">
        <f>'Master BOQ Pricing_2018-01-08'!B235</f>
        <v>16.010000000000002</v>
      </c>
      <c r="C235" s="700" t="str">
        <f>'Master BOQ Pricing_2018-01-08'!C235</f>
        <v xml:space="preserve">Portable toilet hire </v>
      </c>
      <c r="D235" s="727" t="str">
        <f>'Master BOQ Pricing_2018-01-08'!D235</f>
        <v>per day</v>
      </c>
      <c r="E235" s="702">
        <f>'Master BOQ Pricing_2018-01-08'!E235</f>
        <v>130</v>
      </c>
      <c r="F235" s="703"/>
      <c r="G235" s="704">
        <f>+F235*E235</f>
        <v>0</v>
      </c>
      <c r="H235" s="728"/>
      <c r="I235" s="729"/>
      <c r="J235" s="728"/>
      <c r="K235" s="729"/>
      <c r="L235" s="728"/>
      <c r="M235" s="729"/>
      <c r="N235" s="728"/>
      <c r="O235" s="729"/>
      <c r="P235" s="728"/>
      <c r="Q235" s="730"/>
      <c r="R235" s="731"/>
      <c r="S235" s="729"/>
      <c r="T235" s="711"/>
      <c r="U235" s="732">
        <f>T235+F235</f>
        <v>0</v>
      </c>
      <c r="V235" s="733">
        <f>U235*E235</f>
        <v>0</v>
      </c>
      <c r="W235" s="710"/>
      <c r="X235" s="711"/>
      <c r="Y235" s="732">
        <f t="shared" si="171"/>
        <v>0</v>
      </c>
      <c r="Z235" s="733">
        <f t="shared" si="172"/>
        <v>0</v>
      </c>
      <c r="AA235" s="710"/>
      <c r="AB235" s="711"/>
      <c r="AC235" s="732">
        <f t="shared" si="173"/>
        <v>0</v>
      </c>
      <c r="AD235" s="733">
        <f t="shared" si="174"/>
        <v>0</v>
      </c>
      <c r="AE235" s="712"/>
      <c r="AF235" s="711"/>
      <c r="AG235" s="732">
        <f t="shared" si="175"/>
        <v>0</v>
      </c>
      <c r="AH235" s="733">
        <f t="shared" si="176"/>
        <v>0</v>
      </c>
      <c r="AI235" s="712"/>
      <c r="AJ235" s="708"/>
      <c r="AK235" s="733">
        <f t="shared" si="178"/>
        <v>0</v>
      </c>
      <c r="AL235" s="713"/>
    </row>
    <row r="236" spans="2:38" s="527" customFormat="1" outlineLevel="1">
      <c r="B236" s="699">
        <f>'Master BOQ Pricing_2018-01-08'!B236</f>
        <v>16.02</v>
      </c>
      <c r="C236" s="700" t="str">
        <f>'Master BOQ Pricing_2018-01-08'!C236</f>
        <v>Removal of Waste Material</v>
      </c>
      <c r="D236" s="727" t="str">
        <f>'Master BOQ Pricing_2018-01-08'!D236</f>
        <v>m³</v>
      </c>
      <c r="E236" s="702">
        <f>'Master BOQ Pricing_2018-01-08'!E236</f>
        <v>150</v>
      </c>
      <c r="F236" s="703"/>
      <c r="G236" s="704">
        <f t="shared" ref="G236:G239" si="260">+F236*E236</f>
        <v>0</v>
      </c>
      <c r="H236" s="728"/>
      <c r="I236" s="729"/>
      <c r="J236" s="728"/>
      <c r="K236" s="729"/>
      <c r="L236" s="728"/>
      <c r="M236" s="729"/>
      <c r="N236" s="728"/>
      <c r="O236" s="729"/>
      <c r="P236" s="728"/>
      <c r="Q236" s="730"/>
      <c r="R236" s="731"/>
      <c r="S236" s="729"/>
      <c r="T236" s="711"/>
      <c r="U236" s="732">
        <f t="shared" ref="U236:U239" si="261">T236+F236</f>
        <v>0</v>
      </c>
      <c r="V236" s="733">
        <f t="shared" ref="V236:V239" si="262">U236*E236</f>
        <v>0</v>
      </c>
      <c r="W236" s="710"/>
      <c r="X236" s="711"/>
      <c r="Y236" s="732">
        <f t="shared" si="171"/>
        <v>0</v>
      </c>
      <c r="Z236" s="733">
        <f t="shared" si="172"/>
        <v>0</v>
      </c>
      <c r="AA236" s="710"/>
      <c r="AB236" s="711"/>
      <c r="AC236" s="732">
        <f t="shared" si="173"/>
        <v>0</v>
      </c>
      <c r="AD236" s="733">
        <f t="shared" si="174"/>
        <v>0</v>
      </c>
      <c r="AE236" s="712"/>
      <c r="AF236" s="711"/>
      <c r="AG236" s="732">
        <f t="shared" si="175"/>
        <v>0</v>
      </c>
      <c r="AH236" s="733">
        <f t="shared" si="176"/>
        <v>0</v>
      </c>
      <c r="AI236" s="712"/>
      <c r="AJ236" s="708"/>
      <c r="AK236" s="733">
        <f t="shared" si="178"/>
        <v>0</v>
      </c>
      <c r="AL236" s="713"/>
    </row>
    <row r="237" spans="2:38" s="527" customFormat="1" outlineLevel="1">
      <c r="B237" s="699">
        <f>'Master BOQ Pricing_2018-01-08'!B237</f>
        <v>16.03</v>
      </c>
      <c r="C237" s="700" t="str">
        <f>'Master BOQ Pricing_2018-01-08'!C237</f>
        <v>Sand Bags (bag purchase &amp; filling with sand)</v>
      </c>
      <c r="D237" s="727" t="str">
        <f>'Master BOQ Pricing_2018-01-08'!D237</f>
        <v>ea</v>
      </c>
      <c r="E237" s="702">
        <f>'Master BOQ Pricing_2018-01-08'!E237</f>
        <v>20</v>
      </c>
      <c r="F237" s="703"/>
      <c r="G237" s="704">
        <f t="shared" si="260"/>
        <v>0</v>
      </c>
      <c r="H237" s="728"/>
      <c r="I237" s="729"/>
      <c r="J237" s="728"/>
      <c r="K237" s="729"/>
      <c r="L237" s="728"/>
      <c r="M237" s="729"/>
      <c r="N237" s="728"/>
      <c r="O237" s="729"/>
      <c r="P237" s="728"/>
      <c r="Q237" s="730"/>
      <c r="R237" s="731"/>
      <c r="S237" s="729"/>
      <c r="T237" s="711"/>
      <c r="U237" s="732">
        <f t="shared" si="261"/>
        <v>0</v>
      </c>
      <c r="V237" s="733">
        <f t="shared" si="262"/>
        <v>0</v>
      </c>
      <c r="W237" s="710"/>
      <c r="X237" s="711"/>
      <c r="Y237" s="732">
        <f t="shared" si="171"/>
        <v>0</v>
      </c>
      <c r="Z237" s="733">
        <f t="shared" si="172"/>
        <v>0</v>
      </c>
      <c r="AA237" s="710"/>
      <c r="AB237" s="711"/>
      <c r="AC237" s="732">
        <f t="shared" si="173"/>
        <v>0</v>
      </c>
      <c r="AD237" s="733">
        <f t="shared" si="174"/>
        <v>0</v>
      </c>
      <c r="AE237" s="712"/>
      <c r="AF237" s="711"/>
      <c r="AG237" s="732">
        <f t="shared" si="175"/>
        <v>0</v>
      </c>
      <c r="AH237" s="733">
        <f t="shared" si="176"/>
        <v>0</v>
      </c>
      <c r="AI237" s="712"/>
      <c r="AJ237" s="708"/>
      <c r="AK237" s="733">
        <f t="shared" si="178"/>
        <v>0</v>
      </c>
      <c r="AL237" s="713"/>
    </row>
    <row r="238" spans="2:38" s="527" customFormat="1" outlineLevel="1">
      <c r="B238" s="699">
        <f>'Master BOQ Pricing_2018-01-08'!B238</f>
        <v>16.04</v>
      </c>
      <c r="C238" s="700" t="str">
        <f>'Master BOQ Pricing_2018-01-08'!C238</f>
        <v>Clean 3rd party Manhole and correctly manage cable per manhole</v>
      </c>
      <c r="D238" s="727" t="str">
        <f>'Master BOQ Pricing_2018-01-08'!D238</f>
        <v>ea</v>
      </c>
      <c r="E238" s="702">
        <f>'Master BOQ Pricing_2018-01-08'!E238</f>
        <v>40</v>
      </c>
      <c r="F238" s="703"/>
      <c r="G238" s="704">
        <f t="shared" si="260"/>
        <v>0</v>
      </c>
      <c r="H238" s="728"/>
      <c r="I238" s="729"/>
      <c r="J238" s="728"/>
      <c r="K238" s="729"/>
      <c r="L238" s="728"/>
      <c r="M238" s="729"/>
      <c r="N238" s="728"/>
      <c r="O238" s="729"/>
      <c r="P238" s="728"/>
      <c r="Q238" s="730"/>
      <c r="R238" s="728"/>
      <c r="S238" s="729"/>
      <c r="T238" s="711"/>
      <c r="U238" s="732">
        <f t="shared" si="261"/>
        <v>0</v>
      </c>
      <c r="V238" s="733">
        <f t="shared" si="262"/>
        <v>0</v>
      </c>
      <c r="W238" s="710"/>
      <c r="X238" s="711"/>
      <c r="Y238" s="732">
        <f t="shared" si="171"/>
        <v>0</v>
      </c>
      <c r="Z238" s="733">
        <f t="shared" si="172"/>
        <v>0</v>
      </c>
      <c r="AA238" s="710"/>
      <c r="AB238" s="711"/>
      <c r="AC238" s="732">
        <f t="shared" si="173"/>
        <v>0</v>
      </c>
      <c r="AD238" s="733">
        <f t="shared" si="174"/>
        <v>0</v>
      </c>
      <c r="AE238" s="712"/>
      <c r="AF238" s="711"/>
      <c r="AG238" s="732">
        <f t="shared" si="175"/>
        <v>0</v>
      </c>
      <c r="AH238" s="733">
        <f t="shared" si="176"/>
        <v>0</v>
      </c>
      <c r="AI238" s="712"/>
      <c r="AJ238" s="708"/>
      <c r="AK238" s="733">
        <f t="shared" si="178"/>
        <v>0</v>
      </c>
      <c r="AL238" s="713"/>
    </row>
    <row r="239" spans="2:38" s="527" customFormat="1" outlineLevel="1">
      <c r="B239" s="699">
        <f>'Master BOQ Pricing_2018-01-08'!B239</f>
        <v>16.05</v>
      </c>
      <c r="C239" s="700" t="str">
        <f>'Master BOQ Pricing_2018-01-08'!C239</f>
        <v>Safety File</v>
      </c>
      <c r="D239" s="727" t="str">
        <f>'Master BOQ Pricing_2018-01-08'!D239</f>
        <v>ea</v>
      </c>
      <c r="E239" s="702">
        <f>'Master BOQ Pricing_2018-01-08'!E239</f>
        <v>500</v>
      </c>
      <c r="F239" s="703">
        <v>1</v>
      </c>
      <c r="G239" s="704">
        <f t="shared" si="260"/>
        <v>500</v>
      </c>
      <c r="H239" s="728"/>
      <c r="I239" s="729"/>
      <c r="J239" s="728"/>
      <c r="K239" s="729"/>
      <c r="L239" s="728"/>
      <c r="M239" s="729"/>
      <c r="N239" s="728"/>
      <c r="O239" s="729"/>
      <c r="P239" s="728"/>
      <c r="Q239" s="730"/>
      <c r="R239" s="728"/>
      <c r="S239" s="729"/>
      <c r="T239" s="711"/>
      <c r="U239" s="732">
        <f t="shared" si="261"/>
        <v>1</v>
      </c>
      <c r="V239" s="733">
        <f t="shared" si="262"/>
        <v>500</v>
      </c>
      <c r="W239" s="710"/>
      <c r="X239" s="711"/>
      <c r="Y239" s="732">
        <f t="shared" si="171"/>
        <v>1</v>
      </c>
      <c r="Z239" s="733">
        <f t="shared" si="172"/>
        <v>500</v>
      </c>
      <c r="AA239" s="710"/>
      <c r="AB239" s="711"/>
      <c r="AC239" s="732">
        <f t="shared" si="173"/>
        <v>1</v>
      </c>
      <c r="AD239" s="733">
        <f t="shared" si="174"/>
        <v>500</v>
      </c>
      <c r="AE239" s="712"/>
      <c r="AF239" s="711"/>
      <c r="AG239" s="732">
        <f t="shared" si="175"/>
        <v>1</v>
      </c>
      <c r="AH239" s="733">
        <f t="shared" si="176"/>
        <v>500</v>
      </c>
      <c r="AI239" s="712"/>
      <c r="AJ239" s="708"/>
      <c r="AK239" s="733">
        <f t="shared" si="178"/>
        <v>0</v>
      </c>
      <c r="AL239" s="713"/>
    </row>
    <row r="240" spans="2:38" s="527" customFormat="1" outlineLevel="1">
      <c r="B240" s="699">
        <f>'Master BOQ Pricing_2018-01-08'!B240</f>
        <v>16.059999999999999</v>
      </c>
      <c r="C240" s="700" t="str">
        <f>'Master BOQ Pricing_2018-01-08'!C240</f>
        <v>Bush Cutting</v>
      </c>
      <c r="D240" s="727" t="str">
        <f>'Master BOQ Pricing_2018-01-08'!D240</f>
        <v>m</v>
      </c>
      <c r="E240" s="702">
        <f>'Master BOQ Pricing_2018-01-08'!E240</f>
        <v>2.8</v>
      </c>
      <c r="F240" s="703"/>
      <c r="G240" s="704">
        <f t="shared" ref="G240" si="263">+F240*E240</f>
        <v>0</v>
      </c>
      <c r="H240" s="728"/>
      <c r="I240" s="729"/>
      <c r="J240" s="728"/>
      <c r="K240" s="729"/>
      <c r="L240" s="728"/>
      <c r="M240" s="729"/>
      <c r="N240" s="728"/>
      <c r="O240" s="729"/>
      <c r="P240" s="728"/>
      <c r="Q240" s="730"/>
      <c r="R240" s="728"/>
      <c r="S240" s="729"/>
      <c r="T240" s="711"/>
      <c r="U240" s="732">
        <f t="shared" ref="U240" si="264">T240+F240</f>
        <v>0</v>
      </c>
      <c r="V240" s="733">
        <f t="shared" ref="V240" si="265">U240*E240</f>
        <v>0</v>
      </c>
      <c r="W240" s="710"/>
      <c r="X240" s="711"/>
      <c r="Y240" s="732">
        <f t="shared" ref="Y240" si="266">X240+U240</f>
        <v>0</v>
      </c>
      <c r="Z240" s="733">
        <f t="shared" ref="Z240" si="267">Y240*E240</f>
        <v>0</v>
      </c>
      <c r="AA240" s="710"/>
      <c r="AB240" s="711"/>
      <c r="AC240" s="732">
        <f t="shared" ref="AC240" si="268">AB240+Y240</f>
        <v>0</v>
      </c>
      <c r="AD240" s="733">
        <f t="shared" ref="AD240" si="269">AC240*E240</f>
        <v>0</v>
      </c>
      <c r="AE240" s="712"/>
      <c r="AF240" s="711"/>
      <c r="AG240" s="732">
        <f t="shared" ref="AG240" si="270">AF240+AC240</f>
        <v>0</v>
      </c>
      <c r="AH240" s="733">
        <f t="shared" ref="AH240" si="271">AG240*E240</f>
        <v>0</v>
      </c>
      <c r="AI240" s="712"/>
      <c r="AJ240" s="708"/>
      <c r="AK240" s="733">
        <f t="shared" ref="AK240" si="272">AJ240*E240</f>
        <v>0</v>
      </c>
      <c r="AL240" s="713"/>
    </row>
    <row r="241" spans="1:38" s="527" customFormat="1" ht="28.8" customHeight="1" outlineLevel="1">
      <c r="B241" s="699">
        <f>'Master BOQ Pricing_2018-01-08'!B241</f>
        <v>16.07</v>
      </c>
      <c r="C241" s="700" t="str">
        <f>'Master BOQ Pricing_2018-01-08'!C241</f>
        <v>Company Contribution of 30% of The Local Labour Cost @ R250 per person/day as Requested By Local Councillors</v>
      </c>
      <c r="D241" s="727" t="str">
        <f>'Master BOQ Pricing_2018-01-08'!D241</f>
        <v>Man/day</v>
      </c>
      <c r="E241" s="702">
        <f>'Master BOQ Pricing_2018-01-08'!E241</f>
        <v>75</v>
      </c>
      <c r="F241" s="728"/>
      <c r="G241" s="729"/>
      <c r="H241" s="728"/>
      <c r="I241" s="729"/>
      <c r="J241" s="728"/>
      <c r="K241" s="729"/>
      <c r="L241" s="728"/>
      <c r="M241" s="729"/>
      <c r="N241" s="728"/>
      <c r="O241" s="729"/>
      <c r="P241" s="728"/>
      <c r="Q241" s="730"/>
      <c r="R241" s="728"/>
      <c r="S241" s="729"/>
      <c r="T241" s="711"/>
      <c r="U241" s="732">
        <f t="shared" ref="U241" si="273">T241+F241</f>
        <v>0</v>
      </c>
      <c r="V241" s="733">
        <f t="shared" ref="V241" si="274">U241*E241</f>
        <v>0</v>
      </c>
      <c r="W241" s="710"/>
      <c r="X241" s="711"/>
      <c r="Y241" s="732">
        <f t="shared" ref="Y241" si="275">X241+U241</f>
        <v>0</v>
      </c>
      <c r="Z241" s="733">
        <f t="shared" ref="Z241" si="276">Y241*E241</f>
        <v>0</v>
      </c>
      <c r="AA241" s="710"/>
      <c r="AB241" s="711"/>
      <c r="AC241" s="732">
        <f t="shared" ref="AC241" si="277">AB241+Y241</f>
        <v>0</v>
      </c>
      <c r="AD241" s="733">
        <f t="shared" ref="AD241" si="278">AC241*E241</f>
        <v>0</v>
      </c>
      <c r="AE241" s="712"/>
      <c r="AF241" s="711"/>
      <c r="AG241" s="732">
        <f t="shared" ref="AG241" si="279">AF241+AC241</f>
        <v>0</v>
      </c>
      <c r="AH241" s="733">
        <f t="shared" ref="AH241" si="280">AG241*E241</f>
        <v>0</v>
      </c>
      <c r="AI241" s="712"/>
      <c r="AJ241" s="708"/>
      <c r="AK241" s="733">
        <f t="shared" ref="AK241" si="281">AJ241*E241</f>
        <v>0</v>
      </c>
      <c r="AL241" s="713"/>
    </row>
    <row r="242" spans="1:38" s="527" customFormat="1" ht="28.8" customHeight="1" outlineLevel="1">
      <c r="B242" s="699" t="str">
        <f>'Master BOQ Pricing_2018-01-08'!B242</f>
        <v>16.07.1</v>
      </c>
      <c r="C242" s="700" t="str">
        <f>'Master BOQ Pricing_2018-01-08'!C242</f>
        <v>Link Africa Contribution of 30% of The Local CLO Cost @ R500 per person/day as Requested By Local Councillors</v>
      </c>
      <c r="D242" s="727" t="str">
        <f>'Master BOQ Pricing_2018-01-08'!D242</f>
        <v>Man/day</v>
      </c>
      <c r="E242" s="702">
        <f>'Master BOQ Pricing_2018-01-08'!E242</f>
        <v>150</v>
      </c>
      <c r="F242" s="728"/>
      <c r="G242" s="729"/>
      <c r="H242" s="728"/>
      <c r="I242" s="729"/>
      <c r="J242" s="728"/>
      <c r="K242" s="729"/>
      <c r="L242" s="728"/>
      <c r="M242" s="729"/>
      <c r="N242" s="728"/>
      <c r="O242" s="729"/>
      <c r="P242" s="728"/>
      <c r="Q242" s="730"/>
      <c r="R242" s="728"/>
      <c r="S242" s="729"/>
      <c r="T242" s="711"/>
      <c r="U242" s="732">
        <f t="shared" ref="U242:U243" si="282">T242+F242</f>
        <v>0</v>
      </c>
      <c r="V242" s="733">
        <f t="shared" ref="V242:V243" si="283">U242*E242</f>
        <v>0</v>
      </c>
      <c r="W242" s="710"/>
      <c r="X242" s="711"/>
      <c r="Y242" s="732">
        <f t="shared" ref="Y242:Y243" si="284">X242+U242</f>
        <v>0</v>
      </c>
      <c r="Z242" s="733">
        <f t="shared" ref="Z242:Z243" si="285">Y242*E242</f>
        <v>0</v>
      </c>
      <c r="AA242" s="710"/>
      <c r="AB242" s="711"/>
      <c r="AC242" s="732">
        <f t="shared" ref="AC242:AC243" si="286">AB242+Y242</f>
        <v>0</v>
      </c>
      <c r="AD242" s="733">
        <f t="shared" ref="AD242:AD243" si="287">AC242*E242</f>
        <v>0</v>
      </c>
      <c r="AE242" s="712"/>
      <c r="AF242" s="711"/>
      <c r="AG242" s="732">
        <f t="shared" ref="AG242:AG243" si="288">AF242+AC242</f>
        <v>0</v>
      </c>
      <c r="AH242" s="733">
        <f t="shared" ref="AH242:AH243" si="289">AG242*E242</f>
        <v>0</v>
      </c>
      <c r="AI242" s="712"/>
      <c r="AJ242" s="708"/>
      <c r="AK242" s="733">
        <f t="shared" ref="AK242:AK243" si="290">AJ242*E242</f>
        <v>0</v>
      </c>
      <c r="AL242" s="713"/>
    </row>
    <row r="243" spans="1:38" s="527" customFormat="1" ht="28.8" customHeight="1" outlineLevel="1">
      <c r="B243" s="699">
        <f>'Master BOQ Pricing_2018-01-08'!B243</f>
        <v>16.079999999999998</v>
      </c>
      <c r="C243" s="700" t="str">
        <f>'Master BOQ Pricing_2018-01-08'!C243</f>
        <v>Abseiling</v>
      </c>
      <c r="D243" s="727" t="str">
        <f>'Master BOQ Pricing_2018-01-08'!D243</f>
        <v>per day</v>
      </c>
      <c r="E243" s="773">
        <f>'Master BOQ Pricing_2018-01-08'!E243</f>
        <v>4500</v>
      </c>
      <c r="F243" s="703"/>
      <c r="G243" s="704">
        <f t="shared" ref="G243" si="291">+F243*E243</f>
        <v>0</v>
      </c>
      <c r="H243" s="728"/>
      <c r="I243" s="729"/>
      <c r="J243" s="728"/>
      <c r="K243" s="729"/>
      <c r="L243" s="728"/>
      <c r="M243" s="729"/>
      <c r="N243" s="728"/>
      <c r="O243" s="729"/>
      <c r="P243" s="728"/>
      <c r="Q243" s="730"/>
      <c r="R243" s="728"/>
      <c r="S243" s="729"/>
      <c r="T243" s="711"/>
      <c r="U243" s="732">
        <f t="shared" si="282"/>
        <v>0</v>
      </c>
      <c r="V243" s="733">
        <f t="shared" si="283"/>
        <v>0</v>
      </c>
      <c r="W243" s="710"/>
      <c r="X243" s="711"/>
      <c r="Y243" s="732">
        <f t="shared" si="284"/>
        <v>0</v>
      </c>
      <c r="Z243" s="733">
        <f t="shared" si="285"/>
        <v>0</v>
      </c>
      <c r="AA243" s="710"/>
      <c r="AB243" s="711"/>
      <c r="AC243" s="732">
        <f t="shared" si="286"/>
        <v>0</v>
      </c>
      <c r="AD243" s="733">
        <f t="shared" si="287"/>
        <v>0</v>
      </c>
      <c r="AE243" s="712"/>
      <c r="AF243" s="711"/>
      <c r="AG243" s="732">
        <f t="shared" si="288"/>
        <v>0</v>
      </c>
      <c r="AH243" s="733">
        <f t="shared" si="289"/>
        <v>0</v>
      </c>
      <c r="AI243" s="712"/>
      <c r="AJ243" s="708"/>
      <c r="AK243" s="733">
        <f t="shared" si="290"/>
        <v>0</v>
      </c>
      <c r="AL243" s="713"/>
    </row>
    <row r="244" spans="1:38" s="527" customFormat="1" ht="28.8" customHeight="1" outlineLevel="1">
      <c r="B244" s="699">
        <f>'Master BOQ Pricing_2018-01-08'!B244</f>
        <v>16.09</v>
      </c>
      <c r="C244" s="700" t="str">
        <f>'Master BOQ Pricing_2018-01-08'!C244</f>
        <v>Cherry Picker (Quote)</v>
      </c>
      <c r="D244" s="727" t="str">
        <f>'Master BOQ Pricing_2018-01-08'!D244</f>
        <v>per day</v>
      </c>
      <c r="E244" s="773">
        <v>3500</v>
      </c>
      <c r="F244" s="703"/>
      <c r="G244" s="704">
        <f t="shared" ref="G244:G245" si="292">+F244*E244</f>
        <v>0</v>
      </c>
      <c r="H244" s="728"/>
      <c r="I244" s="729"/>
      <c r="J244" s="728"/>
      <c r="K244" s="729"/>
      <c r="L244" s="728"/>
      <c r="M244" s="729"/>
      <c r="N244" s="728"/>
      <c r="O244" s="729"/>
      <c r="P244" s="728"/>
      <c r="Q244" s="730"/>
      <c r="R244" s="728"/>
      <c r="S244" s="729"/>
      <c r="T244" s="711"/>
      <c r="U244" s="732">
        <f t="shared" ref="U244:U245" si="293">T244+F244</f>
        <v>0</v>
      </c>
      <c r="V244" s="733">
        <f t="shared" ref="V244:V245" si="294">U244*E244</f>
        <v>0</v>
      </c>
      <c r="W244" s="710"/>
      <c r="X244" s="711"/>
      <c r="Y244" s="732">
        <f t="shared" ref="Y244:Y245" si="295">X244+U244</f>
        <v>0</v>
      </c>
      <c r="Z244" s="733">
        <f t="shared" ref="Z244:Z245" si="296">Y244*E244</f>
        <v>0</v>
      </c>
      <c r="AA244" s="710"/>
      <c r="AB244" s="711"/>
      <c r="AC244" s="732">
        <f t="shared" ref="AC244:AC245" si="297">AB244+Y244</f>
        <v>0</v>
      </c>
      <c r="AD244" s="733">
        <f t="shared" ref="AD244:AD245" si="298">AC244*E244</f>
        <v>0</v>
      </c>
      <c r="AE244" s="712"/>
      <c r="AF244" s="711"/>
      <c r="AG244" s="732">
        <f t="shared" ref="AG244:AG245" si="299">AF244+AC244</f>
        <v>0</v>
      </c>
      <c r="AH244" s="733">
        <f t="shared" ref="AH244:AH245" si="300">AG244*E244</f>
        <v>0</v>
      </c>
      <c r="AI244" s="712"/>
      <c r="AJ244" s="708"/>
      <c r="AK244" s="733">
        <f t="shared" ref="AK244:AK245" si="301">AJ244*E244</f>
        <v>0</v>
      </c>
      <c r="AL244" s="713"/>
    </row>
    <row r="245" spans="1:38" s="527" customFormat="1" ht="28.8" customHeight="1" outlineLevel="1" thickBot="1">
      <c r="B245" s="819">
        <f>'Master BOQ Pricing_2018-01-08'!B245</f>
        <v>16.100000000000001</v>
      </c>
      <c r="C245" s="820" t="str">
        <f>'Master BOQ Pricing_2018-01-08'!C245</f>
        <v>Full Turnkey Drop Cable installation by Contractor in Connected Building</v>
      </c>
      <c r="D245" s="510" t="str">
        <f>'Master BOQ Pricing_2018-01-08'!D245</f>
        <v>Per Drop</v>
      </c>
      <c r="E245" s="994">
        <f>'Master BOQ Pricing_2018-01-08'!E245</f>
        <v>9480</v>
      </c>
      <c r="F245" s="579"/>
      <c r="G245" s="580">
        <f t="shared" si="292"/>
        <v>0</v>
      </c>
      <c r="H245" s="821"/>
      <c r="I245" s="822"/>
      <c r="J245" s="821"/>
      <c r="K245" s="822"/>
      <c r="L245" s="821"/>
      <c r="M245" s="822"/>
      <c r="N245" s="821"/>
      <c r="O245" s="822"/>
      <c r="P245" s="821"/>
      <c r="Q245" s="823"/>
      <c r="R245" s="821"/>
      <c r="S245" s="822"/>
      <c r="T245" s="584"/>
      <c r="U245" s="581">
        <f t="shared" si="293"/>
        <v>0</v>
      </c>
      <c r="V245" s="582">
        <f t="shared" si="294"/>
        <v>0</v>
      </c>
      <c r="W245" s="583"/>
      <c r="X245" s="584"/>
      <c r="Y245" s="581">
        <f t="shared" si="295"/>
        <v>0</v>
      </c>
      <c r="Z245" s="582">
        <f t="shared" si="296"/>
        <v>0</v>
      </c>
      <c r="AA245" s="583"/>
      <c r="AB245" s="584"/>
      <c r="AC245" s="581">
        <f t="shared" si="297"/>
        <v>0</v>
      </c>
      <c r="AD245" s="582">
        <f t="shared" si="298"/>
        <v>0</v>
      </c>
      <c r="AE245" s="585"/>
      <c r="AF245" s="584"/>
      <c r="AG245" s="581">
        <f t="shared" si="299"/>
        <v>0</v>
      </c>
      <c r="AH245" s="582">
        <f t="shared" si="300"/>
        <v>0</v>
      </c>
      <c r="AI245" s="585"/>
      <c r="AJ245" s="586"/>
      <c r="AK245" s="582">
        <f t="shared" si="301"/>
        <v>0</v>
      </c>
      <c r="AL245" s="587"/>
    </row>
    <row r="246" spans="1:38" s="824" customFormat="1" ht="19.95" customHeight="1" thickBot="1">
      <c r="B246" s="825"/>
      <c r="C246" s="826"/>
      <c r="D246" s="825"/>
      <c r="E246" s="825" t="s">
        <v>5</v>
      </c>
      <c r="F246" s="827"/>
      <c r="G246" s="828">
        <f>G14+G16+G57+G65+G74+G81+G90+G124+G160+G180+G196+G213+G230+G234</f>
        <v>2528.67</v>
      </c>
      <c r="H246" s="825"/>
      <c r="I246" s="828">
        <f>I14+I180</f>
        <v>0</v>
      </c>
      <c r="J246" s="825"/>
      <c r="K246" s="828">
        <f>K14+K115</f>
        <v>0</v>
      </c>
      <c r="L246" s="825"/>
      <c r="M246" s="828">
        <f>M14+M81</f>
        <v>0</v>
      </c>
      <c r="N246" s="825"/>
      <c r="O246" s="828">
        <f>O14+O65+O160+O169+O174</f>
        <v>0</v>
      </c>
      <c r="P246" s="825"/>
      <c r="Q246" s="828">
        <f>Q14+Q180</f>
        <v>0</v>
      </c>
      <c r="R246" s="825"/>
      <c r="S246" s="828">
        <f>S14+S169+S174</f>
        <v>215</v>
      </c>
      <c r="T246" s="825"/>
      <c r="U246" s="829"/>
      <c r="V246" s="830">
        <f>SUM(V14:V245)</f>
        <v>2743.67</v>
      </c>
      <c r="W246" s="825"/>
      <c r="X246" s="825"/>
      <c r="Y246" s="829"/>
      <c r="Z246" s="830">
        <f>SUM(Z14:Z245)</f>
        <v>2743.67</v>
      </c>
      <c r="AA246" s="825"/>
      <c r="AB246" s="825"/>
      <c r="AC246" s="825"/>
      <c r="AD246" s="830">
        <f>SUM(AD14:AD245)</f>
        <v>2743.67</v>
      </c>
      <c r="AE246" s="825"/>
      <c r="AF246" s="825"/>
      <c r="AG246" s="825"/>
      <c r="AH246" s="830">
        <f>SUM(AH14:AH245)</f>
        <v>2743.67</v>
      </c>
      <c r="AI246" s="825"/>
      <c r="AJ246" s="825"/>
      <c r="AK246" s="830">
        <f>SUM(AK14:AK245)</f>
        <v>0</v>
      </c>
      <c r="AL246" s="825"/>
    </row>
    <row r="247" spans="1:38" ht="14.4" thickTop="1">
      <c r="B247" s="5"/>
      <c r="C247" s="6"/>
      <c r="D247" s="5"/>
      <c r="E247" s="7"/>
      <c r="F247" s="17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2"/>
      <c r="W247" s="5"/>
      <c r="X247" s="151"/>
      <c r="Y247" s="151"/>
      <c r="Z247" s="151"/>
      <c r="AA247" s="151"/>
      <c r="AB247" s="151"/>
      <c r="AC247" s="151"/>
      <c r="AD247" s="151"/>
      <c r="AE247" s="151"/>
      <c r="AF247" s="151"/>
      <c r="AG247" s="151"/>
      <c r="AH247" s="151"/>
      <c r="AI247" s="151"/>
      <c r="AJ247" s="151"/>
      <c r="AK247" s="151"/>
      <c r="AL247" s="151"/>
    </row>
    <row r="248" spans="1:38" ht="14.4">
      <c r="A248" s="1"/>
      <c r="B248" s="152"/>
      <c r="C248" s="152"/>
      <c r="D248" s="152"/>
      <c r="E248" s="152"/>
      <c r="F248" s="176"/>
      <c r="G248" s="152"/>
      <c r="H248" s="5"/>
      <c r="I248" s="153"/>
      <c r="J248" s="153"/>
      <c r="K248" s="153"/>
      <c r="L248" s="153"/>
      <c r="M248" s="153"/>
      <c r="N248" s="153"/>
      <c r="O248" s="153"/>
      <c r="P248" s="153"/>
      <c r="Q248" s="153"/>
      <c r="R248" s="153"/>
      <c r="S248" s="153"/>
      <c r="T248" s="154" t="s">
        <v>220</v>
      </c>
      <c r="U248" s="154"/>
      <c r="V248" s="155">
        <f>V246-SUM(I246+K246+M246+O246+Q246+S246+G246)</f>
        <v>0</v>
      </c>
      <c r="W248" s="154"/>
      <c r="X248" s="154" t="s">
        <v>222</v>
      </c>
      <c r="Y248" s="154"/>
      <c r="Z248" s="155">
        <f>Z246-V246</f>
        <v>0</v>
      </c>
      <c r="AA248" s="154"/>
      <c r="AB248" s="154" t="s">
        <v>224</v>
      </c>
      <c r="AC248" s="154"/>
      <c r="AD248" s="155">
        <f>AD246-Z246</f>
        <v>0</v>
      </c>
      <c r="AE248" s="154"/>
      <c r="AF248" s="154" t="s">
        <v>226</v>
      </c>
      <c r="AG248" s="154"/>
      <c r="AH248" s="155">
        <f>AH246-AD246</f>
        <v>0</v>
      </c>
      <c r="AI248" s="154"/>
      <c r="AJ248" s="154" t="s">
        <v>228</v>
      </c>
      <c r="AK248" s="155">
        <f>AK246-SUM(I246+K246+M246+O246+Q246+S246+G246)</f>
        <v>-2743.67</v>
      </c>
      <c r="AL248" s="151"/>
    </row>
    <row r="249" spans="1:38" s="10" customFormat="1" ht="18">
      <c r="A249" s="2"/>
      <c r="B249" s="162"/>
      <c r="C249" s="156"/>
      <c r="D249" s="156"/>
      <c r="E249" s="156"/>
      <c r="F249" s="156"/>
      <c r="G249" s="177"/>
      <c r="H249" s="151"/>
      <c r="I249" s="168"/>
      <c r="J249" s="151"/>
      <c r="K249" s="151"/>
      <c r="L249" s="151"/>
      <c r="M249" s="151"/>
      <c r="N249" s="151"/>
      <c r="O249" s="151"/>
      <c r="P249" s="151"/>
      <c r="Q249" s="151"/>
      <c r="R249" s="151"/>
      <c r="S249" s="151"/>
      <c r="T249" s="154" t="s">
        <v>221</v>
      </c>
      <c r="U249" s="154"/>
      <c r="V249" s="198">
        <f>V248/SUM(I246+K246+M246+O246+Q246+S246+G246)</f>
        <v>0</v>
      </c>
      <c r="W249" s="154"/>
      <c r="X249" s="154" t="s">
        <v>223</v>
      </c>
      <c r="Y249" s="154"/>
      <c r="Z249" s="198">
        <f>Z248/V246</f>
        <v>0</v>
      </c>
      <c r="AA249" s="154"/>
      <c r="AB249" s="154" t="s">
        <v>225</v>
      </c>
      <c r="AC249" s="154"/>
      <c r="AD249" s="198">
        <f>AD248/Z246</f>
        <v>0</v>
      </c>
      <c r="AE249" s="154"/>
      <c r="AF249" s="154" t="s">
        <v>227</v>
      </c>
      <c r="AG249" s="154"/>
      <c r="AH249" s="198">
        <f>AH248/AD246</f>
        <v>0</v>
      </c>
      <c r="AI249" s="154"/>
      <c r="AJ249" s="154" t="s">
        <v>229</v>
      </c>
      <c r="AK249" s="198">
        <f>AK248/SUM(I246+K246+M246+O246+Q246+S246+G246)</f>
        <v>-1</v>
      </c>
      <c r="AL249" s="158"/>
    </row>
    <row r="250" spans="1:38" s="10" customFormat="1" ht="18">
      <c r="A250" s="20"/>
      <c r="B250" s="151"/>
      <c r="C250" s="151"/>
      <c r="D250" s="151"/>
      <c r="E250" s="151"/>
      <c r="F250" s="199"/>
      <c r="G250" s="151"/>
      <c r="H250" s="151"/>
      <c r="I250" s="168"/>
      <c r="J250" s="151"/>
      <c r="K250" s="151"/>
      <c r="L250" s="151"/>
      <c r="M250" s="151"/>
      <c r="N250" s="151"/>
      <c r="O250" s="151"/>
      <c r="P250" s="151"/>
      <c r="Q250" s="151"/>
      <c r="R250" s="151"/>
      <c r="S250" s="151"/>
      <c r="T250" s="151"/>
      <c r="U250" s="151"/>
      <c r="V250" s="158"/>
      <c r="W250" s="158"/>
      <c r="X250" s="158"/>
      <c r="Y250" s="158"/>
      <c r="Z250" s="158"/>
      <c r="AA250" s="158"/>
      <c r="AB250" s="158"/>
      <c r="AC250" s="158"/>
      <c r="AD250" s="158"/>
      <c r="AE250" s="158"/>
      <c r="AF250" s="158"/>
      <c r="AG250" s="158"/>
      <c r="AH250" s="158"/>
      <c r="AI250" s="158"/>
      <c r="AJ250" s="158"/>
      <c r="AK250" s="158"/>
      <c r="AL250" s="158"/>
    </row>
    <row r="251" spans="1:38" s="151" customFormat="1" ht="18">
      <c r="A251" s="158"/>
      <c r="B251" s="158"/>
      <c r="C251" s="200" t="s">
        <v>333</v>
      </c>
      <c r="D251" s="200"/>
      <c r="E251" s="200"/>
      <c r="F251" s="201"/>
      <c r="G251" s="202">
        <f>G246+I246+K246+M246+O246+S246+Q246</f>
        <v>2743.67</v>
      </c>
      <c r="H251" s="203"/>
      <c r="I251" s="204"/>
      <c r="T251" s="158"/>
      <c r="U251" s="158"/>
    </row>
    <row r="252" spans="1:38" s="151" customFormat="1" ht="18">
      <c r="A252" s="158"/>
      <c r="B252" s="158"/>
      <c r="C252" s="200" t="s">
        <v>334</v>
      </c>
      <c r="D252" s="1073"/>
      <c r="E252" s="1073"/>
      <c r="F252" s="1073"/>
      <c r="G252" s="995">
        <f>'MATERIAL REQUEST'!H275</f>
        <v>1204.8</v>
      </c>
      <c r="H252" s="158"/>
      <c r="I252" s="205"/>
      <c r="T252" s="158"/>
      <c r="U252" s="158"/>
    </row>
    <row r="253" spans="1:38" s="151" customFormat="1" ht="18.600000000000001" thickBot="1">
      <c r="A253" s="158"/>
      <c r="B253" s="158"/>
      <c r="C253" s="200" t="s">
        <v>347</v>
      </c>
      <c r="D253" s="1073"/>
      <c r="E253" s="1073"/>
      <c r="F253" s="1073"/>
      <c r="G253" s="206">
        <f>G251+G252</f>
        <v>3948.4700000000003</v>
      </c>
      <c r="H253" s="158"/>
      <c r="I253" s="205"/>
      <c r="T253" s="158"/>
      <c r="U253" s="158"/>
    </row>
    <row r="254" spans="1:38" s="151" customFormat="1" ht="14.4" thickTop="1">
      <c r="F254" s="199"/>
    </row>
    <row r="259" spans="34:34">
      <c r="AH259" s="226"/>
    </row>
  </sheetData>
  <sheetProtection algorithmName="SHA-512" hashValue="G7C73AnGGzlweymBC5hfcs9XjpP0hCV77bpo0ejWKcUgKfU7qEXDd8DVbfNgI+GPgA2cZcf/6qnLJXuiKCZ50Q==" saltValue="yndEkxTu9xPoGVkwsAcMWQ==" spinCount="100000" sheet="1" formatCells="0" formatColumns="0" formatRows="0" insertHyperlinks="0" sort="0" autoFilter="0" pivotTables="0"/>
  <autoFilter ref="B13:AL246" xr:uid="{00000000-0009-0000-0000-000001000000}"/>
  <mergeCells count="24">
    <mergeCell ref="L3:S11"/>
    <mergeCell ref="T2:AL2"/>
    <mergeCell ref="T12:AL12"/>
    <mergeCell ref="D252:F252"/>
    <mergeCell ref="T3:AL11"/>
    <mergeCell ref="B2:E2"/>
    <mergeCell ref="F3:K3"/>
    <mergeCell ref="F4:K4"/>
    <mergeCell ref="F5:K5"/>
    <mergeCell ref="F6:K7"/>
    <mergeCell ref="D6:E7"/>
    <mergeCell ref="D253:F253"/>
    <mergeCell ref="D3:E3"/>
    <mergeCell ref="D4:E4"/>
    <mergeCell ref="D5:E5"/>
    <mergeCell ref="B12:I12"/>
    <mergeCell ref="C8:E8"/>
    <mergeCell ref="B9:E9"/>
    <mergeCell ref="B10:E10"/>
    <mergeCell ref="B11:E11"/>
    <mergeCell ref="F8:K8"/>
    <mergeCell ref="F9:K9"/>
    <mergeCell ref="F10:K10"/>
    <mergeCell ref="F11:K11"/>
  </mergeCells>
  <pageMargins left="0.19685039370078741" right="0.19685039370078741" top="0.74803149606299213" bottom="0.74803149606299213" header="0.31496062992125984" footer="0.31496062992125984"/>
  <pageSetup paperSize="8" scale="24" fitToHeight="0" orientation="landscape" r:id="rId1"/>
  <headerFooter>
    <oddHeader>&amp;LFile: &amp;F&amp;RSheet: &amp;A</oddHeader>
    <oddFooter>&amp;CPage &amp;P of &amp;N&amp;RPrinted: &amp;D at &amp;T</oddFooter>
  </headerFooter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7">
    <tabColor rgb="FFC00000"/>
  </sheetPr>
  <dimension ref="A1:O252"/>
  <sheetViews>
    <sheetView showGridLines="0" topLeftCell="A40" zoomScaleNormal="100" workbookViewId="0">
      <selection activeCell="G40" sqref="G1:I1048576"/>
    </sheetView>
  </sheetViews>
  <sheetFormatPr defaultColWidth="4.44140625" defaultRowHeight="13.8" outlineLevelRow="1"/>
  <cols>
    <col min="1" max="1" width="4.88671875" style="20" customWidth="1"/>
    <col min="2" max="2" width="25.109375" style="20" customWidth="1"/>
    <col min="3" max="3" width="113.5546875" style="20" customWidth="1"/>
    <col min="4" max="4" width="17.33203125" style="20" customWidth="1"/>
    <col min="5" max="5" width="12.6640625" style="20" customWidth="1"/>
    <col min="6" max="6" width="7.44140625" style="20" bestFit="1" customWidth="1"/>
    <col min="7" max="7" width="7.77734375" style="20" hidden="1" customWidth="1"/>
    <col min="8" max="9" width="10.44140625" style="20" hidden="1" customWidth="1"/>
    <col min="10" max="10" width="27" style="20" bestFit="1" customWidth="1"/>
    <col min="11" max="11" width="45.5546875" style="20" bestFit="1" customWidth="1"/>
    <col min="12" max="12" width="20" style="20" customWidth="1"/>
    <col min="13" max="13" width="14.88671875" style="20" customWidth="1"/>
    <col min="14" max="14" width="73.77734375" style="20" bestFit="1" customWidth="1"/>
    <col min="15" max="15" width="26.21875" style="20" bestFit="1" customWidth="1"/>
    <col min="16" max="20" width="20" style="20" customWidth="1"/>
    <col min="21" max="16384" width="4.44140625" style="20"/>
  </cols>
  <sheetData>
    <row r="1" spans="1:11" ht="16.2" thickBot="1">
      <c r="A1" s="25" t="s">
        <v>117</v>
      </c>
      <c r="B1" s="26" t="s">
        <v>438</v>
      </c>
      <c r="C1" s="27"/>
      <c r="D1" s="27"/>
      <c r="E1" s="27"/>
    </row>
    <row r="2" spans="1:11" ht="21" thickBot="1">
      <c r="A2" s="27"/>
      <c r="B2" s="1109" t="s">
        <v>473</v>
      </c>
      <c r="C2" s="1110"/>
      <c r="D2" s="1110"/>
      <c r="E2" s="1210"/>
      <c r="J2" s="243" t="s">
        <v>495</v>
      </c>
      <c r="K2" s="238" t="s">
        <v>496</v>
      </c>
    </row>
    <row r="3" spans="1:11" ht="16.5" customHeight="1">
      <c r="A3" s="27"/>
      <c r="B3" s="207" t="s">
        <v>1</v>
      </c>
      <c r="C3" s="178"/>
      <c r="D3" s="1211" t="s">
        <v>362</v>
      </c>
      <c r="E3" s="1212"/>
      <c r="J3" s="239" t="s">
        <v>497</v>
      </c>
      <c r="K3" s="240" t="s">
        <v>498</v>
      </c>
    </row>
    <row r="4" spans="1:11" ht="16.5" customHeight="1">
      <c r="A4" s="27"/>
      <c r="B4" s="208" t="s">
        <v>0</v>
      </c>
      <c r="C4" s="179"/>
      <c r="D4" s="1213" t="s">
        <v>2</v>
      </c>
      <c r="E4" s="1214"/>
      <c r="J4" s="239" t="s">
        <v>499</v>
      </c>
      <c r="K4" s="240" t="s">
        <v>506</v>
      </c>
    </row>
    <row r="5" spans="1:11" ht="16.5" customHeight="1">
      <c r="A5" s="27"/>
      <c r="B5" s="209" t="s">
        <v>306</v>
      </c>
      <c r="C5" s="180"/>
      <c r="D5" s="1213" t="s">
        <v>3</v>
      </c>
      <c r="E5" s="1214"/>
      <c r="J5" s="239" t="s">
        <v>503</v>
      </c>
      <c r="K5" s="240" t="s">
        <v>504</v>
      </c>
    </row>
    <row r="6" spans="1:11" ht="16.5" customHeight="1">
      <c r="A6" s="27"/>
      <c r="B6" s="209" t="s">
        <v>307</v>
      </c>
      <c r="C6" s="180"/>
      <c r="D6" s="254"/>
      <c r="E6" s="255"/>
      <c r="J6" s="239" t="s">
        <v>500</v>
      </c>
      <c r="K6" s="608" t="s">
        <v>1266</v>
      </c>
    </row>
    <row r="7" spans="1:11" ht="16.5" customHeight="1" thickBot="1">
      <c r="A7" s="27"/>
      <c r="B7" s="210" t="s">
        <v>462</v>
      </c>
      <c r="C7" s="268"/>
      <c r="D7" s="1215" t="s">
        <v>361</v>
      </c>
      <c r="E7" s="1216"/>
      <c r="J7" s="239" t="s">
        <v>501</v>
      </c>
      <c r="K7" s="542">
        <v>44965</v>
      </c>
    </row>
    <row r="8" spans="1:11" ht="17.25" customHeight="1" thickBot="1">
      <c r="A8" s="27"/>
      <c r="B8" s="211" t="s">
        <v>118</v>
      </c>
      <c r="C8" s="269"/>
      <c r="D8" s="270"/>
      <c r="E8" s="271"/>
      <c r="J8" s="241" t="s">
        <v>502</v>
      </c>
      <c r="K8" s="543">
        <v>45047</v>
      </c>
    </row>
    <row r="9" spans="1:11" ht="17.25" customHeight="1" thickBot="1">
      <c r="A9" s="27"/>
      <c r="B9" s="211"/>
      <c r="C9" s="269"/>
      <c r="D9" s="270"/>
      <c r="E9" s="271"/>
    </row>
    <row r="10" spans="1:11" ht="17.25" customHeight="1" thickBot="1">
      <c r="A10" s="27"/>
      <c r="B10" s="211"/>
      <c r="C10" s="269"/>
      <c r="D10" s="270"/>
      <c r="E10" s="271"/>
    </row>
    <row r="11" spans="1:11" ht="17.25" customHeight="1" thickBot="1">
      <c r="A11" s="27"/>
      <c r="B11" s="211"/>
      <c r="C11" s="272"/>
      <c r="D11" s="270"/>
      <c r="E11" s="271"/>
    </row>
    <row r="12" spans="1:11" ht="18.600000000000001" thickBot="1">
      <c r="A12" s="27"/>
      <c r="B12" s="1208" t="s">
        <v>280</v>
      </c>
      <c r="C12" s="1209"/>
      <c r="D12" s="1209"/>
      <c r="E12" s="1209"/>
    </row>
    <row r="13" spans="1:11" ht="15" thickBot="1">
      <c r="B13" s="86" t="s">
        <v>63</v>
      </c>
      <c r="C13" s="3" t="s">
        <v>4</v>
      </c>
      <c r="D13" s="86" t="s">
        <v>30</v>
      </c>
      <c r="E13" s="87" t="s">
        <v>64</v>
      </c>
      <c r="G13" s="913" t="s">
        <v>1209</v>
      </c>
      <c r="H13" s="913" t="s">
        <v>1210</v>
      </c>
      <c r="I13" s="914" t="s">
        <v>947</v>
      </c>
    </row>
    <row r="14" spans="1:11" s="274" customFormat="1">
      <c r="B14" s="275">
        <v>1</v>
      </c>
      <c r="C14" s="402" t="s">
        <v>6</v>
      </c>
      <c r="D14" s="276"/>
      <c r="E14" s="277"/>
      <c r="G14" s="550"/>
      <c r="H14" s="916"/>
      <c r="I14" s="916"/>
    </row>
    <row r="15" spans="1:11" s="274" customFormat="1">
      <c r="B15" s="403">
        <v>1.1000000000000001</v>
      </c>
      <c r="C15" s="284" t="s">
        <v>66</v>
      </c>
      <c r="D15" s="285" t="s">
        <v>22</v>
      </c>
      <c r="E15" s="286">
        <v>850</v>
      </c>
      <c r="G15" s="550"/>
      <c r="H15" s="916"/>
      <c r="I15" s="916"/>
      <c r="J15" s="917"/>
    </row>
    <row r="16" spans="1:11" s="274" customFormat="1">
      <c r="B16" s="275">
        <v>2</v>
      </c>
      <c r="C16" s="305" t="s">
        <v>7</v>
      </c>
      <c r="D16" s="404"/>
      <c r="E16" s="405"/>
      <c r="G16" s="550"/>
      <c r="H16" s="916"/>
      <c r="I16" s="916"/>
      <c r="J16" s="917"/>
      <c r="K16" s="517"/>
    </row>
    <row r="17" spans="2:15" s="274" customFormat="1" outlineLevel="1">
      <c r="B17" s="403">
        <v>2.0099999999999998</v>
      </c>
      <c r="C17" s="284" t="s">
        <v>67</v>
      </c>
      <c r="D17" s="406" t="s">
        <v>23</v>
      </c>
      <c r="E17" s="407">
        <v>96</v>
      </c>
      <c r="G17" s="550"/>
      <c r="H17" s="916"/>
      <c r="I17" s="916"/>
      <c r="J17" s="917"/>
      <c r="K17" s="517"/>
    </row>
    <row r="18" spans="2:15" s="274" customFormat="1" outlineLevel="1">
      <c r="B18" s="244">
        <v>2.02</v>
      </c>
      <c r="C18" s="212" t="s">
        <v>358</v>
      </c>
      <c r="D18" s="213" t="s">
        <v>23</v>
      </c>
      <c r="E18" s="407">
        <v>185</v>
      </c>
      <c r="G18" s="550"/>
      <c r="H18" s="916"/>
      <c r="I18" s="916"/>
      <c r="J18" s="917"/>
      <c r="K18" s="517"/>
    </row>
    <row r="19" spans="2:15" s="274" customFormat="1" outlineLevel="1">
      <c r="B19" s="403">
        <v>2.0299999999999998</v>
      </c>
      <c r="C19" s="284" t="s">
        <v>282</v>
      </c>
      <c r="D19" s="406" t="s">
        <v>23</v>
      </c>
      <c r="E19" s="407">
        <v>60.23</v>
      </c>
      <c r="G19" s="550">
        <f>0.4*1*0.7</f>
        <v>0.27999999999999997</v>
      </c>
      <c r="H19" s="918">
        <f>E19/G19</f>
        <v>215.10714285714286</v>
      </c>
      <c r="I19" s="916"/>
      <c r="J19" s="917"/>
      <c r="K19" s="517"/>
      <c r="N19" s="517"/>
      <c r="O19" s="517"/>
    </row>
    <row r="20" spans="2:15" s="274" customFormat="1" outlineLevel="1">
      <c r="B20" s="244">
        <v>2.04</v>
      </c>
      <c r="C20" s="284" t="s">
        <v>1214</v>
      </c>
      <c r="D20" s="406" t="s">
        <v>23</v>
      </c>
      <c r="E20" s="407">
        <v>86.04</v>
      </c>
      <c r="G20" s="550">
        <f>0.4*1*1</f>
        <v>0.4</v>
      </c>
      <c r="H20" s="916"/>
      <c r="I20" s="915">
        <f>G20*H19</f>
        <v>86.042857142857144</v>
      </c>
      <c r="J20" s="917"/>
      <c r="K20" s="517"/>
      <c r="N20" s="517"/>
      <c r="O20" s="517"/>
    </row>
    <row r="21" spans="2:15" s="274" customFormat="1" outlineLevel="1">
      <c r="B21" s="403">
        <v>2.0499999999999998</v>
      </c>
      <c r="C21" s="284" t="s">
        <v>131</v>
      </c>
      <c r="D21" s="406" t="s">
        <v>23</v>
      </c>
      <c r="E21" s="407">
        <v>68.75</v>
      </c>
      <c r="G21" s="550"/>
      <c r="H21" s="916"/>
      <c r="I21" s="916"/>
      <c r="J21" s="917"/>
      <c r="M21" s="517"/>
      <c r="N21" s="517"/>
      <c r="O21" s="517"/>
    </row>
    <row r="22" spans="2:15" s="274" customFormat="1" outlineLevel="1">
      <c r="B22" s="244">
        <v>2.06</v>
      </c>
      <c r="C22" s="284" t="s">
        <v>587</v>
      </c>
      <c r="D22" s="406" t="s">
        <v>23</v>
      </c>
      <c r="E22" s="407">
        <v>34.65</v>
      </c>
      <c r="G22" s="550"/>
      <c r="H22" s="916"/>
      <c r="I22" s="916"/>
      <c r="J22" s="917"/>
      <c r="M22" s="517"/>
      <c r="N22" s="517"/>
      <c r="O22" s="517"/>
    </row>
    <row r="23" spans="2:15" s="517" customFormat="1" ht="24" outlineLevel="1">
      <c r="B23" s="403">
        <v>2.0699999999999998</v>
      </c>
      <c r="C23" s="284" t="s">
        <v>510</v>
      </c>
      <c r="D23" s="406" t="s">
        <v>23</v>
      </c>
      <c r="E23" s="407">
        <v>81.2</v>
      </c>
      <c r="G23" s="550"/>
      <c r="H23" s="916"/>
      <c r="I23" s="916"/>
      <c r="J23" s="917"/>
    </row>
    <row r="24" spans="2:15" s="517" customFormat="1" ht="24" outlineLevel="1">
      <c r="B24" s="244">
        <v>2.08</v>
      </c>
      <c r="C24" s="284" t="s">
        <v>1222</v>
      </c>
      <c r="D24" s="406" t="s">
        <v>23</v>
      </c>
      <c r="E24" s="562">
        <v>31.78</v>
      </c>
      <c r="G24" s="550">
        <f>(0.3*0.3)</f>
        <v>0.09</v>
      </c>
      <c r="H24" s="916"/>
      <c r="I24" s="917">
        <f>H39*G24</f>
        <v>26.486250000000002</v>
      </c>
    </row>
    <row r="25" spans="2:15" s="274" customFormat="1" ht="33.75" customHeight="1" outlineLevel="1">
      <c r="B25" s="403">
        <v>2.09</v>
      </c>
      <c r="C25" s="552" t="s">
        <v>1223</v>
      </c>
      <c r="D25" s="553" t="s">
        <v>23</v>
      </c>
      <c r="E25" s="554">
        <v>84.75</v>
      </c>
      <c r="G25" s="550">
        <f>0.4*0.6</f>
        <v>0.24</v>
      </c>
      <c r="H25" s="918">
        <f>E25/G25</f>
        <v>353.125</v>
      </c>
      <c r="I25" s="917"/>
    </row>
    <row r="26" spans="2:15" s="517" customFormat="1" ht="32.25" customHeight="1" outlineLevel="1">
      <c r="B26" s="244">
        <v>2.1</v>
      </c>
      <c r="C26" s="408" t="s">
        <v>1215</v>
      </c>
      <c r="D26" s="406" t="s">
        <v>23</v>
      </c>
      <c r="E26" s="407">
        <v>121.36</v>
      </c>
      <c r="G26" s="550">
        <f>(0.3*0.7)</f>
        <v>0.21</v>
      </c>
      <c r="H26" s="918">
        <f>E26/G26</f>
        <v>577.90476190476193</v>
      </c>
      <c r="I26" s="917"/>
      <c r="K26" s="274"/>
      <c r="M26" s="274"/>
      <c r="N26" s="274"/>
      <c r="O26" s="274"/>
    </row>
    <row r="27" spans="2:15" s="517" customFormat="1" ht="24" outlineLevel="1">
      <c r="B27" s="403">
        <v>2.11</v>
      </c>
      <c r="C27" s="284" t="s">
        <v>1213</v>
      </c>
      <c r="D27" s="406" t="s">
        <v>23</v>
      </c>
      <c r="E27" s="407">
        <v>260.06</v>
      </c>
      <c r="G27" s="550">
        <f>0.45*1</f>
        <v>0.45</v>
      </c>
      <c r="H27" s="916"/>
      <c r="I27" s="915">
        <f>G27*H26</f>
        <v>260.05714285714288</v>
      </c>
      <c r="J27" s="917"/>
    </row>
    <row r="28" spans="2:15" s="517" customFormat="1" ht="35.25" customHeight="1" outlineLevel="1">
      <c r="B28" s="244">
        <v>2.12</v>
      </c>
      <c r="C28" s="284" t="s">
        <v>293</v>
      </c>
      <c r="D28" s="406" t="s">
        <v>23</v>
      </c>
      <c r="E28" s="407">
        <v>256.8</v>
      </c>
      <c r="G28" s="550">
        <f>(0.3*0.4)</f>
        <v>0.12</v>
      </c>
      <c r="H28" s="918">
        <f>E28/G28</f>
        <v>2140</v>
      </c>
      <c r="I28" s="916"/>
      <c r="J28" s="917"/>
      <c r="K28" s="274"/>
      <c r="M28" s="274"/>
      <c r="N28" s="274"/>
      <c r="O28" s="274"/>
    </row>
    <row r="29" spans="2:15" s="517" customFormat="1" ht="30" customHeight="1" outlineLevel="1">
      <c r="B29" s="403">
        <v>2.13</v>
      </c>
      <c r="C29" s="284" t="s">
        <v>1216</v>
      </c>
      <c r="D29" s="406" t="s">
        <v>23</v>
      </c>
      <c r="E29" s="407">
        <v>963</v>
      </c>
      <c r="G29" s="919">
        <f>(0.45*1)</f>
        <v>0.45</v>
      </c>
      <c r="H29" s="920"/>
      <c r="I29" s="921">
        <f>G29*H28</f>
        <v>963</v>
      </c>
      <c r="J29" s="917"/>
      <c r="N29" s="274"/>
      <c r="O29" s="274"/>
    </row>
    <row r="30" spans="2:15" s="517" customFormat="1" ht="35.25" customHeight="1" outlineLevel="1">
      <c r="B30" s="244">
        <v>2.14</v>
      </c>
      <c r="C30" s="284" t="s">
        <v>964</v>
      </c>
      <c r="D30" s="406" t="s">
        <v>23</v>
      </c>
      <c r="E30" s="562">
        <v>31.78</v>
      </c>
      <c r="G30" s="550">
        <f>0.3*0.3</f>
        <v>0.09</v>
      </c>
      <c r="H30" s="916"/>
      <c r="I30" s="917">
        <f>H43*G30</f>
        <v>31.78125</v>
      </c>
      <c r="K30" s="274"/>
      <c r="M30" s="274"/>
    </row>
    <row r="31" spans="2:15" s="274" customFormat="1" outlineLevel="1">
      <c r="B31" s="403">
        <v>2.15</v>
      </c>
      <c r="C31" s="284" t="s">
        <v>1211</v>
      </c>
      <c r="D31" s="406" t="s">
        <v>23</v>
      </c>
      <c r="E31" s="407">
        <v>143.57</v>
      </c>
      <c r="G31" s="550">
        <f>0.45*1</f>
        <v>0.45</v>
      </c>
      <c r="H31" s="918">
        <f>E31/G31</f>
        <v>319.04444444444442</v>
      </c>
      <c r="I31" s="915">
        <f>G31*H47</f>
        <v>143.57142857142858</v>
      </c>
      <c r="M31" s="517"/>
      <c r="N31" s="517"/>
      <c r="O31" s="517"/>
    </row>
    <row r="32" spans="2:15" s="274" customFormat="1" ht="24" outlineLevel="1">
      <c r="B32" s="244">
        <v>2.16</v>
      </c>
      <c r="C32" s="284" t="s">
        <v>588</v>
      </c>
      <c r="D32" s="406" t="s">
        <v>23</v>
      </c>
      <c r="E32" s="407">
        <v>34.200000000000003</v>
      </c>
      <c r="G32" s="550"/>
      <c r="H32" s="916"/>
      <c r="I32" s="917"/>
      <c r="M32" s="517"/>
      <c r="N32" s="517"/>
      <c r="O32" s="517"/>
    </row>
    <row r="33" spans="2:15" s="517" customFormat="1" outlineLevel="1">
      <c r="B33" s="403">
        <v>2.17</v>
      </c>
      <c r="C33" s="284" t="s">
        <v>132</v>
      </c>
      <c r="D33" s="406" t="s">
        <v>23</v>
      </c>
      <c r="E33" s="407">
        <v>60.23</v>
      </c>
      <c r="G33" s="550">
        <f>0.3*0.7</f>
        <v>0.21</v>
      </c>
      <c r="H33" s="918">
        <f>E33/G33</f>
        <v>286.8095238095238</v>
      </c>
      <c r="I33" s="917"/>
      <c r="K33" s="274"/>
    </row>
    <row r="34" spans="2:15" s="517" customFormat="1" outlineLevel="1">
      <c r="B34" s="403">
        <v>2.1800000000000002</v>
      </c>
      <c r="C34" s="284" t="s">
        <v>1219</v>
      </c>
      <c r="D34" s="406" t="s">
        <v>23</v>
      </c>
      <c r="E34" s="407">
        <v>129.06</v>
      </c>
      <c r="G34" s="550">
        <f>0.45*1</f>
        <v>0.45</v>
      </c>
      <c r="H34" s="916"/>
      <c r="I34" s="915">
        <f>G34*H33</f>
        <v>129.06428571428572</v>
      </c>
      <c r="K34" s="274"/>
    </row>
    <row r="35" spans="2:15" s="517" customFormat="1" ht="24" outlineLevel="1">
      <c r="B35" s="403">
        <v>2.19</v>
      </c>
      <c r="C35" s="552" t="s">
        <v>949</v>
      </c>
      <c r="D35" s="553" t="s">
        <v>23</v>
      </c>
      <c r="E35" s="554">
        <v>5</v>
      </c>
      <c r="G35" s="550"/>
      <c r="H35" s="916"/>
      <c r="I35" s="917"/>
      <c r="K35" s="274"/>
    </row>
    <row r="36" spans="2:15" s="517" customFormat="1" ht="24" outlineLevel="1">
      <c r="B36" s="403">
        <v>2.2000000000000002</v>
      </c>
      <c r="C36" s="284" t="s">
        <v>511</v>
      </c>
      <c r="D36" s="406" t="s">
        <v>23</v>
      </c>
      <c r="E36" s="407">
        <v>81.2</v>
      </c>
      <c r="G36" s="550"/>
      <c r="H36" s="916"/>
      <c r="I36" s="917"/>
      <c r="K36" s="274"/>
      <c r="N36" s="274"/>
      <c r="O36" s="274"/>
    </row>
    <row r="37" spans="2:15" s="517" customFormat="1" ht="32.25" customHeight="1" outlineLevel="1">
      <c r="B37" s="403">
        <v>2.21</v>
      </c>
      <c r="C37" s="408" t="s">
        <v>1212</v>
      </c>
      <c r="D37" s="406" t="s">
        <v>23</v>
      </c>
      <c r="E37" s="407">
        <v>121.36</v>
      </c>
      <c r="G37" s="550">
        <f>(0.3*0.7)</f>
        <v>0.21</v>
      </c>
      <c r="H37" s="918">
        <f>E37/G37</f>
        <v>577.90476190476193</v>
      </c>
      <c r="I37" s="917"/>
      <c r="K37" s="274"/>
      <c r="M37" s="274"/>
      <c r="N37" s="274"/>
      <c r="O37" s="274"/>
    </row>
    <row r="38" spans="2:15" s="517" customFormat="1" ht="32.25" customHeight="1" outlineLevel="1">
      <c r="B38" s="403">
        <v>2.2200000000000002</v>
      </c>
      <c r="C38" s="408" t="s">
        <v>1217</v>
      </c>
      <c r="D38" s="406" t="s">
        <v>23</v>
      </c>
      <c r="E38" s="407">
        <v>260.06</v>
      </c>
      <c r="G38" s="550">
        <f>(0.45*1)</f>
        <v>0.45</v>
      </c>
      <c r="H38" s="916"/>
      <c r="I38" s="915">
        <f>G38*H37</f>
        <v>260.05714285714288</v>
      </c>
      <c r="K38" s="274"/>
      <c r="M38" s="274"/>
      <c r="N38" s="274"/>
      <c r="O38" s="274"/>
    </row>
    <row r="39" spans="2:15" s="517" customFormat="1" ht="32.25" customHeight="1" outlineLevel="1">
      <c r="B39" s="244">
        <v>2.23</v>
      </c>
      <c r="C39" s="555" t="s">
        <v>1221</v>
      </c>
      <c r="D39" s="553" t="s">
        <v>23</v>
      </c>
      <c r="E39" s="554">
        <v>70.63</v>
      </c>
      <c r="G39" s="550">
        <f>(0.4*0.6)</f>
        <v>0.24</v>
      </c>
      <c r="H39" s="918">
        <f>E39/G39</f>
        <v>294.29166666666669</v>
      </c>
      <c r="I39" s="917"/>
      <c r="K39" s="274"/>
      <c r="M39" s="274"/>
      <c r="N39" s="274"/>
      <c r="O39" s="274"/>
    </row>
    <row r="40" spans="2:15" s="517" customFormat="1" ht="32.25" customHeight="1" outlineLevel="1">
      <c r="B40" s="403">
        <v>2.2400000000000002</v>
      </c>
      <c r="C40" s="555" t="s">
        <v>1220</v>
      </c>
      <c r="D40" s="553" t="s">
        <v>23</v>
      </c>
      <c r="E40" s="554">
        <v>132.43</v>
      </c>
      <c r="G40" s="550">
        <f>0.5*0.9</f>
        <v>0.45</v>
      </c>
      <c r="H40" s="916"/>
      <c r="I40" s="915">
        <f>G40*H39</f>
        <v>132.43125000000001</v>
      </c>
      <c r="K40" s="274"/>
      <c r="M40" s="274"/>
      <c r="N40" s="274"/>
      <c r="O40" s="274"/>
    </row>
    <row r="41" spans="2:15" s="274" customFormat="1" ht="33.75" customHeight="1" outlineLevel="1">
      <c r="B41" s="244">
        <v>2.25</v>
      </c>
      <c r="C41" s="284" t="s">
        <v>294</v>
      </c>
      <c r="D41" s="406" t="s">
        <v>23</v>
      </c>
      <c r="E41" s="407">
        <v>273.60000000000002</v>
      </c>
      <c r="G41" s="550">
        <f>(0.3*0.8)</f>
        <v>0.24</v>
      </c>
      <c r="H41" s="918">
        <f>E41/G41</f>
        <v>1140.0000000000002</v>
      </c>
      <c r="I41" s="917"/>
    </row>
    <row r="42" spans="2:15" s="274" customFormat="1" ht="33.75" customHeight="1" outlineLevel="1">
      <c r="B42" s="244">
        <v>2.2599999999999998</v>
      </c>
      <c r="C42" s="284" t="s">
        <v>1218</v>
      </c>
      <c r="D42" s="406" t="s">
        <v>23</v>
      </c>
      <c r="E42" s="407">
        <v>513</v>
      </c>
      <c r="G42" s="550">
        <f>0.45*1</f>
        <v>0.45</v>
      </c>
      <c r="H42" s="916"/>
      <c r="I42" s="915">
        <f>G42*H41</f>
        <v>513.00000000000011</v>
      </c>
    </row>
    <row r="43" spans="2:15" s="274" customFormat="1" ht="33.75" customHeight="1" outlineLevel="1">
      <c r="B43" s="403">
        <v>2.27</v>
      </c>
      <c r="C43" s="552" t="s">
        <v>1224</v>
      </c>
      <c r="D43" s="553" t="s">
        <v>23</v>
      </c>
      <c r="E43" s="554">
        <v>84.75</v>
      </c>
      <c r="G43" s="550">
        <f>0.4*0.6</f>
        <v>0.24</v>
      </c>
      <c r="H43" s="918">
        <f>E43/G43</f>
        <v>353.125</v>
      </c>
      <c r="I43" s="917"/>
    </row>
    <row r="44" spans="2:15" s="274" customFormat="1" ht="33.75" customHeight="1" outlineLevel="1">
      <c r="B44" s="403">
        <v>2.2799999999999998</v>
      </c>
      <c r="C44" s="552" t="s">
        <v>1225</v>
      </c>
      <c r="D44" s="553" t="s">
        <v>23</v>
      </c>
      <c r="E44" s="554">
        <v>158.91</v>
      </c>
      <c r="G44" s="550">
        <f>0.5*0.9</f>
        <v>0.45</v>
      </c>
      <c r="H44" s="916"/>
      <c r="I44" s="915">
        <f>G44*H43</f>
        <v>158.90625</v>
      </c>
    </row>
    <row r="45" spans="2:15" s="274" customFormat="1" outlineLevel="1">
      <c r="B45" s="925">
        <v>2.29</v>
      </c>
      <c r="C45" s="552" t="s">
        <v>1264</v>
      </c>
      <c r="D45" s="553" t="s">
        <v>23</v>
      </c>
      <c r="E45" s="955">
        <v>158.91</v>
      </c>
      <c r="G45" s="550">
        <f>0.45*1</f>
        <v>0.45</v>
      </c>
      <c r="H45" s="916"/>
      <c r="I45" s="915">
        <f>G45*H43</f>
        <v>158.90625</v>
      </c>
    </row>
    <row r="46" spans="2:15" s="274" customFormat="1" ht="24" outlineLevel="1">
      <c r="B46" s="925">
        <v>2.2999999999999998</v>
      </c>
      <c r="C46" s="953" t="s">
        <v>1265</v>
      </c>
      <c r="D46" s="553" t="s">
        <v>23</v>
      </c>
      <c r="E46" s="955">
        <v>161.94999999999999</v>
      </c>
      <c r="G46" s="550">
        <f>0.45*1</f>
        <v>0.45</v>
      </c>
      <c r="H46" s="916"/>
      <c r="I46" s="915">
        <f>G45*(H43+I47)</f>
        <v>161.95275000000001</v>
      </c>
    </row>
    <row r="47" spans="2:15" s="274" customFormat="1" outlineLevel="1">
      <c r="B47" s="403">
        <v>2.31</v>
      </c>
      <c r="C47" s="284" t="s">
        <v>1257</v>
      </c>
      <c r="D47" s="406" t="s">
        <v>23</v>
      </c>
      <c r="E47" s="407">
        <v>67</v>
      </c>
      <c r="G47" s="550">
        <f>0.3*0.7</f>
        <v>0.21</v>
      </c>
      <c r="H47" s="918">
        <f>E47/G47</f>
        <v>319.04761904761904</v>
      </c>
      <c r="I47" s="1020">
        <f>E47-E33</f>
        <v>6.7700000000000031</v>
      </c>
    </row>
    <row r="48" spans="2:15" s="274" customFormat="1" outlineLevel="1">
      <c r="B48" s="244">
        <v>2.3199999999999998</v>
      </c>
      <c r="C48" s="284" t="s">
        <v>1258</v>
      </c>
      <c r="D48" s="406" t="s">
        <v>23</v>
      </c>
      <c r="E48" s="407">
        <v>143.57</v>
      </c>
      <c r="G48" s="550">
        <f>0.45*1</f>
        <v>0.45</v>
      </c>
      <c r="H48" s="916"/>
      <c r="I48" s="915">
        <f>G48*H47</f>
        <v>143.57142857142858</v>
      </c>
    </row>
    <row r="49" spans="2:15" s="274" customFormat="1" outlineLevel="1">
      <c r="B49" s="244">
        <v>2.33</v>
      </c>
      <c r="C49" s="284" t="s">
        <v>1259</v>
      </c>
      <c r="D49" s="406" t="s">
        <v>23</v>
      </c>
      <c r="E49" s="407">
        <v>34.130000000000003</v>
      </c>
      <c r="G49" s="550"/>
      <c r="H49" s="916"/>
      <c r="I49" s="916"/>
      <c r="J49" s="917"/>
    </row>
    <row r="50" spans="2:15" s="274" customFormat="1" outlineLevel="1">
      <c r="B50" s="403">
        <v>2.34</v>
      </c>
      <c r="C50" s="284" t="s">
        <v>1260</v>
      </c>
      <c r="D50" s="406" t="s">
        <v>23</v>
      </c>
      <c r="E50" s="407">
        <v>50.2</v>
      </c>
      <c r="G50" s="550"/>
      <c r="H50" s="916"/>
      <c r="I50" s="916"/>
      <c r="J50" s="917"/>
    </row>
    <row r="51" spans="2:15" s="274" customFormat="1" outlineLevel="1">
      <c r="B51" s="244">
        <v>2.35</v>
      </c>
      <c r="C51" s="284" t="s">
        <v>1261</v>
      </c>
      <c r="D51" s="406" t="s">
        <v>23</v>
      </c>
      <c r="E51" s="407">
        <v>24.75</v>
      </c>
      <c r="G51" s="550"/>
      <c r="H51" s="916"/>
      <c r="I51" s="916"/>
      <c r="J51" s="917"/>
    </row>
    <row r="52" spans="2:15" s="274" customFormat="1" ht="24" outlineLevel="1">
      <c r="B52" s="244">
        <v>2.36</v>
      </c>
      <c r="C52" s="284" t="s">
        <v>1262</v>
      </c>
      <c r="D52" s="406" t="s">
        <v>23</v>
      </c>
      <c r="E52" s="407">
        <v>30.25</v>
      </c>
      <c r="G52" s="550"/>
      <c r="H52" s="916"/>
      <c r="I52" s="916"/>
      <c r="J52" s="917"/>
      <c r="K52" s="517"/>
    </row>
    <row r="53" spans="2:15" s="274" customFormat="1" ht="28.5" customHeight="1" outlineLevel="1">
      <c r="B53" s="403">
        <v>2.37</v>
      </c>
      <c r="C53" s="284" t="s">
        <v>1263</v>
      </c>
      <c r="D53" s="406" t="s">
        <v>23</v>
      </c>
      <c r="E53" s="407">
        <v>49.5</v>
      </c>
      <c r="G53" s="550"/>
      <c r="H53" s="916"/>
      <c r="I53" s="916"/>
      <c r="J53" s="917"/>
      <c r="K53" s="518"/>
    </row>
    <row r="54" spans="2:15" s="274" customFormat="1" outlineLevel="1">
      <c r="B54" s="244">
        <v>2.38</v>
      </c>
      <c r="C54" s="284" t="s">
        <v>68</v>
      </c>
      <c r="D54" s="406" t="s">
        <v>24</v>
      </c>
      <c r="E54" s="407">
        <v>867.39</v>
      </c>
      <c r="G54" s="550"/>
      <c r="H54" s="916"/>
      <c r="I54" s="916"/>
      <c r="J54" s="917"/>
    </row>
    <row r="55" spans="2:15" s="274" customFormat="1" outlineLevel="1">
      <c r="B55" s="244">
        <v>2.39</v>
      </c>
      <c r="C55" s="284" t="s">
        <v>27</v>
      </c>
      <c r="D55" s="406" t="s">
        <v>24</v>
      </c>
      <c r="E55" s="407">
        <v>494.09</v>
      </c>
      <c r="G55" s="550"/>
      <c r="H55" s="916"/>
      <c r="I55" s="916"/>
      <c r="J55" s="917"/>
    </row>
    <row r="56" spans="2:15" s="274" customFormat="1" outlineLevel="1">
      <c r="B56" s="403">
        <v>2.4</v>
      </c>
      <c r="C56" s="552" t="s">
        <v>950</v>
      </c>
      <c r="D56" s="553" t="s">
        <v>23</v>
      </c>
      <c r="E56" s="554">
        <v>88.35</v>
      </c>
      <c r="G56" s="550">
        <f>0.4*0.7</f>
        <v>0.27999999999999997</v>
      </c>
      <c r="H56" s="918">
        <f>E56/G56</f>
        <v>315.53571428571428</v>
      </c>
      <c r="I56" s="916"/>
      <c r="J56" s="917"/>
    </row>
    <row r="57" spans="2:15" s="274" customFormat="1" outlineLevel="1">
      <c r="B57" s="275">
        <v>2</v>
      </c>
      <c r="C57" s="305" t="s">
        <v>951</v>
      </c>
      <c r="D57" s="404"/>
      <c r="E57" s="405"/>
      <c r="G57" s="550"/>
      <c r="H57" s="916"/>
      <c r="I57" s="916"/>
      <c r="J57" s="917"/>
      <c r="N57" s="517"/>
      <c r="O57" s="517"/>
    </row>
    <row r="58" spans="2:15" s="274" customFormat="1" outlineLevel="1">
      <c r="B58" s="403">
        <v>2.39</v>
      </c>
      <c r="C58" s="284" t="s">
        <v>8</v>
      </c>
      <c r="D58" s="406" t="s">
        <v>25</v>
      </c>
      <c r="E58" s="407">
        <v>350</v>
      </c>
      <c r="G58" s="550"/>
      <c r="H58" s="916"/>
      <c r="I58" s="916"/>
      <c r="J58" s="917"/>
      <c r="M58" s="517"/>
      <c r="N58" s="518"/>
      <c r="O58" s="518"/>
    </row>
    <row r="59" spans="2:15" s="274" customFormat="1" outlineLevel="1">
      <c r="B59" s="403">
        <v>2.4</v>
      </c>
      <c r="C59" s="284" t="s">
        <v>9</v>
      </c>
      <c r="D59" s="406" t="s">
        <v>25</v>
      </c>
      <c r="E59" s="407">
        <v>700</v>
      </c>
      <c r="G59" s="550"/>
      <c r="H59" s="916"/>
      <c r="I59" s="916"/>
      <c r="J59" s="917"/>
      <c r="M59" s="518"/>
    </row>
    <row r="60" spans="2:15" s="517" customFormat="1" outlineLevel="1">
      <c r="B60" s="403">
        <v>2.41</v>
      </c>
      <c r="C60" s="284" t="s">
        <v>29</v>
      </c>
      <c r="D60" s="406" t="s">
        <v>69</v>
      </c>
      <c r="E60" s="407">
        <v>26.26</v>
      </c>
      <c r="G60" s="550"/>
      <c r="H60" s="916"/>
      <c r="I60" s="916"/>
      <c r="J60" s="917"/>
      <c r="K60" s="274"/>
      <c r="M60" s="274"/>
      <c r="N60" s="274"/>
      <c r="O60" s="274"/>
    </row>
    <row r="61" spans="2:15" s="518" customFormat="1" outlineLevel="1">
      <c r="B61" s="403">
        <v>2.42</v>
      </c>
      <c r="C61" s="408" t="s">
        <v>283</v>
      </c>
      <c r="D61" s="409" t="s">
        <v>25</v>
      </c>
      <c r="E61" s="407">
        <v>28.5</v>
      </c>
      <c r="G61" s="550"/>
      <c r="H61" s="916"/>
      <c r="I61" s="916"/>
      <c r="J61" s="917"/>
      <c r="K61" s="274"/>
      <c r="M61" s="274"/>
      <c r="N61" s="274"/>
      <c r="O61" s="274"/>
    </row>
    <row r="62" spans="2:15" s="274" customFormat="1" outlineLevel="1">
      <c r="B62" s="403">
        <v>2.4300000000000002</v>
      </c>
      <c r="C62" s="284" t="s">
        <v>70</v>
      </c>
      <c r="D62" s="406" t="s">
        <v>71</v>
      </c>
      <c r="E62" s="407">
        <v>30.45</v>
      </c>
      <c r="G62" s="550"/>
      <c r="H62" s="916"/>
      <c r="I62" s="916"/>
      <c r="J62" s="917"/>
    </row>
    <row r="63" spans="2:15" s="274" customFormat="1" outlineLevel="1">
      <c r="B63" s="403">
        <v>2.44</v>
      </c>
      <c r="C63" s="284" t="s">
        <v>28</v>
      </c>
      <c r="D63" s="406" t="s">
        <v>71</v>
      </c>
      <c r="E63" s="407">
        <v>19.649999999999999</v>
      </c>
      <c r="G63" s="550"/>
      <c r="H63" s="916"/>
      <c r="I63" s="916"/>
      <c r="J63" s="917"/>
      <c r="K63" s="517"/>
    </row>
    <row r="64" spans="2:15" s="274" customFormat="1" outlineLevel="1">
      <c r="B64" s="403">
        <v>2.4500000000000002</v>
      </c>
      <c r="C64" s="284" t="s">
        <v>597</v>
      </c>
      <c r="D64" s="406" t="s">
        <v>71</v>
      </c>
      <c r="E64" s="407">
        <v>10</v>
      </c>
      <c r="G64" s="550"/>
      <c r="H64" s="916"/>
      <c r="I64" s="916"/>
      <c r="J64" s="917"/>
    </row>
    <row r="65" spans="2:15" s="274" customFormat="1">
      <c r="B65" s="275">
        <v>3</v>
      </c>
      <c r="C65" s="305" t="s">
        <v>10</v>
      </c>
      <c r="D65" s="410"/>
      <c r="E65" s="411"/>
      <c r="G65" s="550"/>
      <c r="H65" s="916"/>
      <c r="I65" s="916"/>
      <c r="J65" s="917"/>
    </row>
    <row r="66" spans="2:15" s="274" customFormat="1" outlineLevel="1">
      <c r="B66" s="403">
        <v>3.01</v>
      </c>
      <c r="C66" s="284" t="s">
        <v>200</v>
      </c>
      <c r="D66" s="406" t="s">
        <v>23</v>
      </c>
      <c r="E66" s="407">
        <v>3</v>
      </c>
      <c r="G66" s="550"/>
      <c r="H66" s="916"/>
      <c r="I66" s="916"/>
      <c r="J66" s="917"/>
      <c r="N66" s="517"/>
      <c r="O66" s="517"/>
    </row>
    <row r="67" spans="2:15" s="274" customFormat="1" outlineLevel="1">
      <c r="B67" s="403">
        <v>3.02</v>
      </c>
      <c r="C67" s="284" t="s">
        <v>374</v>
      </c>
      <c r="D67" s="406" t="s">
        <v>23</v>
      </c>
      <c r="E67" s="407">
        <v>3</v>
      </c>
      <c r="G67" s="550"/>
      <c r="H67" s="916"/>
      <c r="I67" s="916"/>
      <c r="J67" s="917"/>
      <c r="M67" s="517"/>
    </row>
    <row r="68" spans="2:15" s="274" customFormat="1" outlineLevel="1">
      <c r="B68" s="403">
        <v>3.03</v>
      </c>
      <c r="C68" s="284" t="s">
        <v>377</v>
      </c>
      <c r="D68" s="406" t="s">
        <v>23</v>
      </c>
      <c r="E68" s="407">
        <v>6</v>
      </c>
      <c r="G68" s="550"/>
      <c r="H68" s="916"/>
      <c r="I68" s="916"/>
      <c r="J68" s="917"/>
    </row>
    <row r="69" spans="2:15" s="517" customFormat="1" outlineLevel="1">
      <c r="B69" s="403">
        <v>3.04</v>
      </c>
      <c r="C69" s="284" t="s">
        <v>72</v>
      </c>
      <c r="D69" s="406" t="s">
        <v>23</v>
      </c>
      <c r="E69" s="407">
        <v>130</v>
      </c>
      <c r="G69" s="550"/>
      <c r="H69" s="916"/>
      <c r="I69" s="916"/>
      <c r="J69" s="917"/>
      <c r="K69" s="274"/>
      <c r="M69" s="274"/>
      <c r="N69" s="274"/>
      <c r="O69" s="274"/>
    </row>
    <row r="70" spans="2:15" s="274" customFormat="1" outlineLevel="1">
      <c r="B70" s="403">
        <v>3.05</v>
      </c>
      <c r="C70" s="284" t="s">
        <v>629</v>
      </c>
      <c r="D70" s="406" t="s">
        <v>23</v>
      </c>
      <c r="E70" s="407">
        <v>7.5</v>
      </c>
      <c r="G70" s="550"/>
      <c r="H70" s="916"/>
      <c r="I70" s="916"/>
      <c r="J70" s="917"/>
    </row>
    <row r="71" spans="2:15" s="274" customFormat="1" outlineLevel="1">
      <c r="B71" s="403">
        <v>3.06</v>
      </c>
      <c r="C71" s="284" t="s">
        <v>128</v>
      </c>
      <c r="D71" s="406" t="s">
        <v>23</v>
      </c>
      <c r="E71" s="407">
        <v>3.64</v>
      </c>
      <c r="G71" s="550"/>
      <c r="H71" s="916"/>
      <c r="I71" s="916"/>
      <c r="J71" s="917"/>
    </row>
    <row r="72" spans="2:15" s="274" customFormat="1" outlineLevel="1">
      <c r="B72" s="403">
        <v>3.07</v>
      </c>
      <c r="C72" s="284" t="s">
        <v>284</v>
      </c>
      <c r="D72" s="406" t="s">
        <v>71</v>
      </c>
      <c r="E72" s="407">
        <v>1000</v>
      </c>
      <c r="G72" s="550"/>
      <c r="H72" s="916"/>
      <c r="I72" s="916"/>
      <c r="J72" s="917"/>
    </row>
    <row r="73" spans="2:15" s="274" customFormat="1" outlineLevel="1">
      <c r="B73" s="403">
        <v>3.08</v>
      </c>
      <c r="C73" s="284" t="s">
        <v>558</v>
      </c>
      <c r="D73" s="406" t="s">
        <v>71</v>
      </c>
      <c r="E73" s="407">
        <v>0.65</v>
      </c>
      <c r="G73" s="550"/>
      <c r="H73" s="916"/>
      <c r="I73" s="916"/>
      <c r="J73" s="917"/>
    </row>
    <row r="74" spans="2:15" s="274" customFormat="1">
      <c r="B74" s="275">
        <v>4</v>
      </c>
      <c r="C74" s="305" t="s">
        <v>285</v>
      </c>
      <c r="D74" s="410"/>
      <c r="E74" s="411"/>
      <c r="G74" s="550"/>
      <c r="H74" s="916"/>
      <c r="I74" s="916"/>
      <c r="J74" s="917"/>
    </row>
    <row r="75" spans="2:15" s="274" customFormat="1" outlineLevel="1">
      <c r="B75" s="403">
        <v>4.01</v>
      </c>
      <c r="C75" s="284" t="s">
        <v>73</v>
      </c>
      <c r="D75" s="406" t="s">
        <v>23</v>
      </c>
      <c r="E75" s="407">
        <v>8</v>
      </c>
      <c r="G75" s="550"/>
      <c r="H75" s="916"/>
      <c r="I75" s="916"/>
      <c r="J75" s="917"/>
    </row>
    <row r="76" spans="2:15" s="274" customFormat="1" outlineLevel="1">
      <c r="B76" s="403">
        <v>4.0199999999999996</v>
      </c>
      <c r="C76" s="284" t="s">
        <v>74</v>
      </c>
      <c r="D76" s="406" t="s">
        <v>24</v>
      </c>
      <c r="E76" s="407">
        <v>264</v>
      </c>
      <c r="G76" s="550"/>
      <c r="H76" s="916"/>
      <c r="I76" s="916"/>
      <c r="J76" s="917"/>
    </row>
    <row r="77" spans="2:15" s="274" customFormat="1" outlineLevel="1">
      <c r="B77" s="403">
        <v>4.03</v>
      </c>
      <c r="C77" s="284" t="s">
        <v>123</v>
      </c>
      <c r="D77" s="406" t="s">
        <v>24</v>
      </c>
      <c r="E77" s="407">
        <v>180</v>
      </c>
      <c r="G77" s="550"/>
      <c r="H77" s="916"/>
      <c r="I77" s="916"/>
      <c r="J77" s="917"/>
    </row>
    <row r="78" spans="2:15" s="274" customFormat="1" outlineLevel="1">
      <c r="B78" s="403">
        <v>4.04</v>
      </c>
      <c r="C78" s="284" t="s">
        <v>75</v>
      </c>
      <c r="D78" s="406" t="s">
        <v>23</v>
      </c>
      <c r="E78" s="407">
        <v>122.95</v>
      </c>
      <c r="G78" s="550"/>
      <c r="H78" s="916"/>
      <c r="I78" s="916"/>
      <c r="J78" s="917"/>
    </row>
    <row r="79" spans="2:15" s="274" customFormat="1" outlineLevel="1">
      <c r="B79" s="403">
        <v>4.05</v>
      </c>
      <c r="C79" s="284" t="s">
        <v>76</v>
      </c>
      <c r="D79" s="406" t="s">
        <v>23</v>
      </c>
      <c r="E79" s="407">
        <v>70</v>
      </c>
      <c r="G79" s="550"/>
      <c r="H79" s="916"/>
      <c r="I79" s="916"/>
      <c r="J79" s="917"/>
      <c r="K79" s="517"/>
    </row>
    <row r="80" spans="2:15" s="274" customFormat="1" outlineLevel="1">
      <c r="B80" s="403">
        <v>4.0599999999999996</v>
      </c>
      <c r="C80" s="284" t="s">
        <v>238</v>
      </c>
      <c r="D80" s="406" t="s">
        <v>23</v>
      </c>
      <c r="E80" s="407">
        <v>24.18</v>
      </c>
      <c r="G80" s="550"/>
      <c r="H80" s="916"/>
      <c r="I80" s="916"/>
      <c r="J80" s="917"/>
      <c r="K80" s="517"/>
    </row>
    <row r="81" spans="2:15" s="274" customFormat="1">
      <c r="B81" s="275">
        <v>5</v>
      </c>
      <c r="C81" s="305" t="s">
        <v>11</v>
      </c>
      <c r="D81" s="410"/>
      <c r="E81" s="411"/>
      <c r="G81" s="550"/>
      <c r="H81" s="916"/>
      <c r="I81" s="916"/>
      <c r="J81" s="917"/>
    </row>
    <row r="82" spans="2:15" s="274" customFormat="1" outlineLevel="1">
      <c r="B82" s="403">
        <v>5.01</v>
      </c>
      <c r="C82" s="284" t="s">
        <v>135</v>
      </c>
      <c r="D82" s="406" t="s">
        <v>23</v>
      </c>
      <c r="E82" s="407">
        <v>172.97</v>
      </c>
      <c r="G82" s="550"/>
      <c r="H82" s="916"/>
      <c r="I82" s="916"/>
      <c r="J82" s="917"/>
    </row>
    <row r="83" spans="2:15" s="274" customFormat="1" outlineLevel="1">
      <c r="B83" s="551" t="s">
        <v>963</v>
      </c>
      <c r="C83" s="552" t="s">
        <v>952</v>
      </c>
      <c r="D83" s="553" t="s">
        <v>23</v>
      </c>
      <c r="E83" s="554">
        <v>36.89</v>
      </c>
      <c r="G83" s="550"/>
      <c r="H83" s="916"/>
      <c r="I83" s="916"/>
      <c r="J83" s="917"/>
      <c r="N83" s="517"/>
      <c r="O83" s="517"/>
    </row>
    <row r="84" spans="2:15" s="274" customFormat="1" outlineLevel="1">
      <c r="B84" s="403">
        <v>5.0199999999999996</v>
      </c>
      <c r="C84" s="284" t="s">
        <v>134</v>
      </c>
      <c r="D84" s="406" t="s">
        <v>23</v>
      </c>
      <c r="E84" s="407">
        <v>94.76</v>
      </c>
      <c r="G84" s="550"/>
      <c r="H84" s="916"/>
      <c r="I84" s="916"/>
      <c r="J84" s="917"/>
      <c r="M84" s="517"/>
      <c r="N84" s="517"/>
      <c r="O84" s="517"/>
    </row>
    <row r="85" spans="2:15" s="274" customFormat="1" outlineLevel="1">
      <c r="B85" s="412">
        <v>5.03</v>
      </c>
      <c r="C85" s="284" t="s">
        <v>1010</v>
      </c>
      <c r="D85" s="409" t="s">
        <v>25</v>
      </c>
      <c r="E85" s="407">
        <v>318.72000000000003</v>
      </c>
      <c r="G85" s="550">
        <f>96*3.32</f>
        <v>318.71999999999997</v>
      </c>
      <c r="H85" s="916"/>
      <c r="I85" s="916"/>
      <c r="J85" s="917"/>
      <c r="K85" s="517"/>
      <c r="M85" s="517"/>
    </row>
    <row r="86" spans="2:15" s="517" customFormat="1" outlineLevel="1">
      <c r="B86" s="403">
        <v>5.04</v>
      </c>
      <c r="C86" s="284" t="s">
        <v>136</v>
      </c>
      <c r="D86" s="406" t="s">
        <v>23</v>
      </c>
      <c r="E86" s="407">
        <v>297.5</v>
      </c>
      <c r="G86" s="550"/>
      <c r="H86" s="916"/>
      <c r="I86" s="916"/>
      <c r="J86" s="917"/>
      <c r="M86" s="274"/>
      <c r="N86" s="274"/>
      <c r="O86" s="274"/>
    </row>
    <row r="87" spans="2:15" s="517" customFormat="1" outlineLevel="1">
      <c r="B87" s="403">
        <v>5.05</v>
      </c>
      <c r="C87" s="408" t="s">
        <v>286</v>
      </c>
      <c r="D87" s="409" t="s">
        <v>25</v>
      </c>
      <c r="E87" s="407">
        <v>95</v>
      </c>
      <c r="G87" s="550"/>
      <c r="H87" s="916"/>
      <c r="I87" s="916"/>
      <c r="J87" s="917"/>
      <c r="M87" s="274"/>
      <c r="N87" s="274"/>
      <c r="O87" s="274"/>
    </row>
    <row r="88" spans="2:15" s="274" customFormat="1" outlineLevel="1">
      <c r="B88" s="403">
        <v>5.0599999999999996</v>
      </c>
      <c r="C88" s="284" t="s">
        <v>77</v>
      </c>
      <c r="D88" s="406" t="s">
        <v>23</v>
      </c>
      <c r="E88" s="407">
        <v>20</v>
      </c>
      <c r="G88" s="550"/>
      <c r="H88" s="916"/>
      <c r="I88" s="916"/>
      <c r="J88" s="917"/>
      <c r="K88" s="517"/>
      <c r="N88" s="517"/>
      <c r="O88" s="517"/>
    </row>
    <row r="89" spans="2:15" s="274" customFormat="1" outlineLevel="1">
      <c r="B89" s="403">
        <v>5.07</v>
      </c>
      <c r="C89" s="284" t="s">
        <v>287</v>
      </c>
      <c r="D89" s="406" t="s">
        <v>23</v>
      </c>
      <c r="E89" s="407">
        <v>48</v>
      </c>
      <c r="G89" s="550"/>
      <c r="H89" s="916"/>
      <c r="I89" s="916"/>
      <c r="J89" s="917"/>
      <c r="K89" s="4"/>
      <c r="M89" s="517"/>
      <c r="N89" s="517"/>
      <c r="O89" s="517"/>
    </row>
    <row r="90" spans="2:15" s="274" customFormat="1">
      <c r="B90" s="275">
        <v>6</v>
      </c>
      <c r="C90" s="305" t="s">
        <v>12</v>
      </c>
      <c r="D90" s="410"/>
      <c r="E90" s="411"/>
      <c r="G90" s="550"/>
      <c r="H90" s="916"/>
      <c r="I90" s="916"/>
      <c r="J90" s="917"/>
      <c r="K90" s="4"/>
      <c r="M90" s="517"/>
      <c r="N90" s="517"/>
      <c r="O90" s="517"/>
    </row>
    <row r="91" spans="2:15" s="517" customFormat="1" ht="27.75" customHeight="1" outlineLevel="1">
      <c r="B91" s="403">
        <v>6.01</v>
      </c>
      <c r="C91" s="284" t="s">
        <v>288</v>
      </c>
      <c r="D91" s="406" t="s">
        <v>71</v>
      </c>
      <c r="E91" s="407">
        <v>2287.6999999999998</v>
      </c>
      <c r="G91" s="550"/>
      <c r="H91" s="916"/>
      <c r="I91" s="916"/>
      <c r="J91" s="917"/>
      <c r="K91" s="4"/>
    </row>
    <row r="92" spans="2:15" s="517" customFormat="1" ht="27.75" customHeight="1" outlineLevel="1">
      <c r="B92" s="413">
        <v>6.02</v>
      </c>
      <c r="C92" s="408" t="s">
        <v>507</v>
      </c>
      <c r="D92" s="409" t="s">
        <v>71</v>
      </c>
      <c r="E92" s="414">
        <v>1452.57</v>
      </c>
      <c r="G92" s="550"/>
      <c r="H92" s="916"/>
      <c r="I92" s="916"/>
      <c r="J92" s="917"/>
      <c r="K92" s="4"/>
      <c r="N92" s="4"/>
      <c r="O92" s="4"/>
    </row>
    <row r="93" spans="2:15" s="517" customFormat="1" ht="24" outlineLevel="1">
      <c r="B93" s="403">
        <v>6.03</v>
      </c>
      <c r="C93" s="284" t="s">
        <v>471</v>
      </c>
      <c r="D93" s="406" t="s">
        <v>71</v>
      </c>
      <c r="E93" s="407">
        <v>1187.7</v>
      </c>
      <c r="F93" s="519"/>
      <c r="G93" s="550"/>
      <c r="H93" s="916"/>
      <c r="I93" s="916"/>
      <c r="J93" s="917"/>
      <c r="K93" s="4"/>
      <c r="M93" s="4"/>
      <c r="N93" s="4"/>
      <c r="O93" s="4"/>
    </row>
    <row r="94" spans="2:15" s="517" customFormat="1" ht="24" outlineLevel="1">
      <c r="B94" s="403" t="s">
        <v>1004</v>
      </c>
      <c r="C94" s="284" t="s">
        <v>1005</v>
      </c>
      <c r="D94" s="406" t="s">
        <v>71</v>
      </c>
      <c r="E94" s="407">
        <v>1187.7</v>
      </c>
      <c r="F94" s="519"/>
      <c r="G94" s="550"/>
      <c r="H94" s="916"/>
      <c r="I94" s="916"/>
      <c r="J94" s="917"/>
      <c r="K94" s="4"/>
      <c r="M94" s="4"/>
      <c r="N94" s="4"/>
      <c r="O94" s="4"/>
    </row>
    <row r="95" spans="2:15" s="517" customFormat="1" ht="24" outlineLevel="1">
      <c r="B95" s="403">
        <v>6.04</v>
      </c>
      <c r="C95" s="284" t="s">
        <v>289</v>
      </c>
      <c r="D95" s="406" t="s">
        <v>71</v>
      </c>
      <c r="E95" s="407">
        <v>3120</v>
      </c>
      <c r="G95" s="550"/>
      <c r="H95" s="916"/>
      <c r="I95" s="916"/>
      <c r="J95" s="917"/>
      <c r="K95" s="4"/>
      <c r="M95" s="4"/>
      <c r="N95" s="4"/>
      <c r="O95" s="4"/>
    </row>
    <row r="96" spans="2:15" s="4" customFormat="1" outlineLevel="1">
      <c r="B96" s="403">
        <v>6.05</v>
      </c>
      <c r="C96" s="284" t="s">
        <v>378</v>
      </c>
      <c r="D96" s="406" t="s">
        <v>71</v>
      </c>
      <c r="E96" s="407">
        <v>545.45000000000005</v>
      </c>
      <c r="G96" s="550"/>
      <c r="H96" s="916"/>
      <c r="I96" s="916"/>
      <c r="J96" s="917"/>
    </row>
    <row r="97" spans="2:11" s="4" customFormat="1" outlineLevel="1">
      <c r="B97" s="403">
        <v>6.06</v>
      </c>
      <c r="C97" s="284" t="s">
        <v>505</v>
      </c>
      <c r="D97" s="406" t="s">
        <v>71</v>
      </c>
      <c r="E97" s="407">
        <v>1383.32</v>
      </c>
      <c r="G97" s="550"/>
      <c r="H97" s="916"/>
      <c r="I97" s="916"/>
      <c r="J97" s="917"/>
    </row>
    <row r="98" spans="2:11" s="4" customFormat="1" ht="24" customHeight="1" outlineLevel="1">
      <c r="B98" s="403">
        <v>6.07</v>
      </c>
      <c r="C98" s="284" t="s">
        <v>78</v>
      </c>
      <c r="D98" s="406" t="s">
        <v>71</v>
      </c>
      <c r="E98" s="407">
        <v>4286</v>
      </c>
      <c r="G98" s="550"/>
      <c r="H98" s="916"/>
      <c r="I98" s="916"/>
      <c r="J98" s="917"/>
    </row>
    <row r="99" spans="2:11" s="4" customFormat="1" outlineLevel="1">
      <c r="B99" s="403">
        <v>6.08</v>
      </c>
      <c r="C99" s="284" t="s">
        <v>375</v>
      </c>
      <c r="D99" s="406" t="s">
        <v>71</v>
      </c>
      <c r="E99" s="407">
        <v>545.45000000000005</v>
      </c>
      <c r="G99" s="550"/>
      <c r="H99" s="916"/>
      <c r="I99" s="916"/>
      <c r="J99" s="917"/>
    </row>
    <row r="100" spans="2:11" s="4" customFormat="1" outlineLevel="1">
      <c r="B100" s="403" t="s">
        <v>1006</v>
      </c>
      <c r="C100" s="284" t="s">
        <v>1007</v>
      </c>
      <c r="D100" s="406" t="s">
        <v>71</v>
      </c>
      <c r="E100" s="407">
        <v>545.45000000000005</v>
      </c>
      <c r="G100" s="550"/>
      <c r="H100" s="916"/>
      <c r="I100" s="916"/>
      <c r="J100" s="917"/>
    </row>
    <row r="101" spans="2:11" s="4" customFormat="1" outlineLevel="1">
      <c r="B101" s="403">
        <v>6.09</v>
      </c>
      <c r="C101" s="493" t="s">
        <v>819</v>
      </c>
      <c r="D101" s="429" t="s">
        <v>71</v>
      </c>
      <c r="E101" s="494">
        <v>160</v>
      </c>
      <c r="G101" s="550"/>
      <c r="H101" s="916"/>
      <c r="I101" s="916"/>
      <c r="J101" s="917"/>
    </row>
    <row r="102" spans="2:11" s="4" customFormat="1" outlineLevel="1">
      <c r="B102" s="403">
        <v>6.1</v>
      </c>
      <c r="C102" s="284" t="s">
        <v>521</v>
      </c>
      <c r="D102" s="406" t="s">
        <v>71</v>
      </c>
      <c r="E102" s="407">
        <v>160</v>
      </c>
      <c r="G102" s="550"/>
      <c r="H102" s="916"/>
      <c r="I102" s="916"/>
      <c r="J102" s="917"/>
    </row>
    <row r="103" spans="2:11" s="4" customFormat="1" outlineLevel="1">
      <c r="B103" s="403">
        <v>6.11</v>
      </c>
      <c r="C103" s="415" t="s">
        <v>515</v>
      </c>
      <c r="D103" s="406" t="s">
        <v>71</v>
      </c>
      <c r="E103" s="416">
        <v>123.43</v>
      </c>
      <c r="G103" s="550"/>
      <c r="H103" s="916"/>
      <c r="I103" s="916"/>
      <c r="J103" s="917"/>
    </row>
    <row r="104" spans="2:11" s="4" customFormat="1" outlineLevel="1">
      <c r="B104" s="403">
        <v>6.12</v>
      </c>
      <c r="C104" s="415" t="s">
        <v>516</v>
      </c>
      <c r="D104" s="406" t="s">
        <v>71</v>
      </c>
      <c r="E104" s="416">
        <v>164.75</v>
      </c>
      <c r="G104" s="550"/>
      <c r="H104" s="916"/>
      <c r="I104" s="916"/>
      <c r="J104" s="917"/>
    </row>
    <row r="105" spans="2:11" s="4" customFormat="1" outlineLevel="1">
      <c r="B105" s="403">
        <v>6.13</v>
      </c>
      <c r="C105" s="415" t="s">
        <v>517</v>
      </c>
      <c r="D105" s="406" t="s">
        <v>71</v>
      </c>
      <c r="E105" s="407">
        <v>504.69</v>
      </c>
      <c r="G105" s="550"/>
      <c r="H105" s="916"/>
      <c r="I105" s="916"/>
      <c r="J105" s="917"/>
    </row>
    <row r="106" spans="2:11" s="4" customFormat="1" outlineLevel="1">
      <c r="B106" s="403">
        <v>6.14</v>
      </c>
      <c r="C106" s="415" t="s">
        <v>518</v>
      </c>
      <c r="D106" s="406" t="s">
        <v>71</v>
      </c>
      <c r="E106" s="407">
        <v>599.12</v>
      </c>
      <c r="G106" s="550"/>
      <c r="H106" s="916"/>
      <c r="I106" s="916"/>
      <c r="J106" s="917"/>
    </row>
    <row r="107" spans="2:11" s="4" customFormat="1" outlineLevel="1">
      <c r="B107" s="403">
        <v>6.15</v>
      </c>
      <c r="C107" s="284" t="s">
        <v>559</v>
      </c>
      <c r="D107" s="406" t="s">
        <v>71</v>
      </c>
      <c r="E107" s="407">
        <v>255</v>
      </c>
      <c r="G107" s="550"/>
      <c r="H107" s="916"/>
      <c r="I107" s="916"/>
      <c r="J107" s="917"/>
      <c r="K107" s="274"/>
    </row>
    <row r="108" spans="2:11" s="4" customFormat="1" outlineLevel="1">
      <c r="B108" s="403">
        <v>6.16</v>
      </c>
      <c r="C108" s="165" t="s">
        <v>133</v>
      </c>
      <c r="D108" s="417" t="s">
        <v>71</v>
      </c>
      <c r="E108" s="407">
        <v>520</v>
      </c>
      <c r="G108" s="550"/>
      <c r="H108" s="916"/>
      <c r="I108" s="916"/>
      <c r="J108" s="917"/>
      <c r="K108" s="274"/>
    </row>
    <row r="109" spans="2:11" s="4" customFormat="1" outlineLevel="1">
      <c r="B109" s="403">
        <v>6.17</v>
      </c>
      <c r="C109" s="284" t="s">
        <v>474</v>
      </c>
      <c r="D109" s="406" t="s">
        <v>71</v>
      </c>
      <c r="E109" s="407">
        <v>4899.96</v>
      </c>
      <c r="G109" s="550"/>
      <c r="H109" s="916"/>
      <c r="I109" s="916"/>
      <c r="J109" s="917"/>
      <c r="K109" s="274"/>
    </row>
    <row r="110" spans="2:11" s="4" customFormat="1" outlineLevel="1">
      <c r="B110" s="403">
        <v>6.18</v>
      </c>
      <c r="C110" s="408" t="s">
        <v>475</v>
      </c>
      <c r="D110" s="409" t="s">
        <v>71</v>
      </c>
      <c r="E110" s="414">
        <v>2869</v>
      </c>
      <c r="G110" s="550"/>
      <c r="H110" s="916"/>
      <c r="I110" s="916"/>
      <c r="J110" s="917"/>
      <c r="K110" s="274"/>
    </row>
    <row r="111" spans="2:11" s="4" customFormat="1" outlineLevel="1">
      <c r="B111" s="403">
        <v>6.19</v>
      </c>
      <c r="C111" s="165" t="s">
        <v>899</v>
      </c>
      <c r="D111" s="417" t="s">
        <v>71</v>
      </c>
      <c r="E111" s="407">
        <v>750</v>
      </c>
      <c r="G111" s="550"/>
      <c r="H111" s="916"/>
      <c r="I111" s="916"/>
      <c r="J111" s="917"/>
      <c r="K111" s="274"/>
    </row>
    <row r="112" spans="2:11" s="4" customFormat="1" outlineLevel="1">
      <c r="B112" s="403">
        <v>6.2</v>
      </c>
      <c r="C112" s="165" t="s">
        <v>900</v>
      </c>
      <c r="D112" s="417" t="s">
        <v>71</v>
      </c>
      <c r="E112" s="407">
        <v>5250</v>
      </c>
      <c r="G112" s="550"/>
      <c r="H112" s="916"/>
      <c r="I112" s="916"/>
      <c r="J112" s="917"/>
      <c r="K112" s="274"/>
    </row>
    <row r="113" spans="2:15" s="4" customFormat="1" outlineLevel="1">
      <c r="B113" s="403">
        <v>6.21</v>
      </c>
      <c r="C113" s="418" t="s">
        <v>901</v>
      </c>
      <c r="D113" s="417" t="s">
        <v>71</v>
      </c>
      <c r="E113" s="419"/>
      <c r="G113" s="550"/>
      <c r="H113" s="916"/>
      <c r="I113" s="916"/>
      <c r="J113" s="917"/>
      <c r="K113" s="274"/>
      <c r="N113" s="274"/>
      <c r="O113" s="274"/>
    </row>
    <row r="114" spans="2:15" s="4" customFormat="1" outlineLevel="1">
      <c r="B114" s="403">
        <v>6.22</v>
      </c>
      <c r="C114" s="418" t="s">
        <v>902</v>
      </c>
      <c r="D114" s="417" t="s">
        <v>71</v>
      </c>
      <c r="E114" s="515"/>
      <c r="G114" s="550"/>
      <c r="H114" s="916"/>
      <c r="I114" s="916"/>
      <c r="J114" s="917"/>
      <c r="K114" s="274"/>
      <c r="M114" s="274"/>
      <c r="N114" s="274"/>
      <c r="O114" s="274"/>
    </row>
    <row r="115" spans="2:15" s="4" customFormat="1">
      <c r="B115" s="275">
        <v>7</v>
      </c>
      <c r="C115" s="288" t="s">
        <v>79</v>
      </c>
      <c r="D115" s="420"/>
      <c r="E115" s="421"/>
      <c r="G115" s="550"/>
      <c r="H115" s="916"/>
      <c r="I115" s="916"/>
      <c r="J115" s="917"/>
      <c r="K115" s="274"/>
      <c r="M115" s="274"/>
      <c r="N115" s="274"/>
      <c r="O115" s="274"/>
    </row>
    <row r="116" spans="2:15" s="274" customFormat="1" ht="24" customHeight="1" outlineLevel="1">
      <c r="B116" s="403">
        <v>7.01</v>
      </c>
      <c r="C116" s="165" t="s">
        <v>918</v>
      </c>
      <c r="D116" s="417" t="s">
        <v>23</v>
      </c>
      <c r="E116" s="407">
        <v>250</v>
      </c>
      <c r="G116" s="550"/>
      <c r="H116" s="916"/>
      <c r="I116" s="916"/>
      <c r="J116" s="917"/>
    </row>
    <row r="117" spans="2:15" s="274" customFormat="1" ht="24" customHeight="1" outlineLevel="1">
      <c r="B117" s="403">
        <v>7.02</v>
      </c>
      <c r="C117" s="530" t="s">
        <v>919</v>
      </c>
      <c r="D117" s="531" t="s">
        <v>23</v>
      </c>
      <c r="E117" s="532">
        <v>500</v>
      </c>
      <c r="G117" s="550"/>
      <c r="H117" s="916"/>
      <c r="I117" s="916"/>
      <c r="J117" s="917"/>
    </row>
    <row r="118" spans="2:15" s="274" customFormat="1" outlineLevel="1">
      <c r="B118" s="403">
        <v>7.03</v>
      </c>
      <c r="C118" s="284" t="s">
        <v>80</v>
      </c>
      <c r="D118" s="406" t="s">
        <v>23</v>
      </c>
      <c r="E118" s="407">
        <v>900</v>
      </c>
      <c r="G118" s="550"/>
      <c r="H118" s="916"/>
      <c r="I118" s="916"/>
      <c r="J118" s="917"/>
    </row>
    <row r="119" spans="2:15" s="274" customFormat="1" outlineLevel="1">
      <c r="B119" s="403">
        <v>7.04</v>
      </c>
      <c r="C119" s="284" t="s">
        <v>81</v>
      </c>
      <c r="D119" s="406" t="s">
        <v>23</v>
      </c>
      <c r="E119" s="407">
        <v>730</v>
      </c>
      <c r="G119" s="550"/>
      <c r="H119" s="916"/>
      <c r="I119" s="916"/>
      <c r="J119" s="917"/>
    </row>
    <row r="120" spans="2:15" s="274" customFormat="1" outlineLevel="1">
      <c r="B120" s="403">
        <v>7.05</v>
      </c>
      <c r="C120" s="284" t="s">
        <v>82</v>
      </c>
      <c r="D120" s="406" t="s">
        <v>23</v>
      </c>
      <c r="E120" s="407">
        <v>1200</v>
      </c>
      <c r="G120" s="550"/>
      <c r="H120" s="916"/>
      <c r="I120" s="916"/>
      <c r="J120" s="917"/>
    </row>
    <row r="121" spans="2:15" s="274" customFormat="1" outlineLevel="1">
      <c r="B121" s="403">
        <v>7.06</v>
      </c>
      <c r="C121" s="284" t="s">
        <v>83</v>
      </c>
      <c r="D121" s="406" t="s">
        <v>23</v>
      </c>
      <c r="E121" s="407">
        <v>449.2</v>
      </c>
      <c r="G121" s="550"/>
      <c r="H121" s="916"/>
      <c r="I121" s="916"/>
      <c r="J121" s="917"/>
    </row>
    <row r="122" spans="2:15" s="274" customFormat="1" outlineLevel="1">
      <c r="B122" s="403">
        <v>7.07</v>
      </c>
      <c r="C122" s="284" t="s">
        <v>379</v>
      </c>
      <c r="D122" s="406" t="s">
        <v>23</v>
      </c>
      <c r="E122" s="407">
        <v>77.5</v>
      </c>
      <c r="G122" s="550"/>
      <c r="H122" s="916"/>
      <c r="I122" s="916"/>
      <c r="J122" s="917"/>
    </row>
    <row r="123" spans="2:15" s="274" customFormat="1" outlineLevel="1">
      <c r="B123" s="403">
        <v>7.08</v>
      </c>
      <c r="C123" s="284" t="s">
        <v>586</v>
      </c>
      <c r="D123" s="406" t="s">
        <v>23</v>
      </c>
      <c r="E123" s="407">
        <v>72</v>
      </c>
      <c r="G123" s="550"/>
      <c r="H123" s="916"/>
      <c r="I123" s="916"/>
      <c r="J123" s="917"/>
    </row>
    <row r="124" spans="2:15" s="274" customFormat="1">
      <c r="B124" s="275">
        <v>8</v>
      </c>
      <c r="C124" s="305" t="s">
        <v>13</v>
      </c>
      <c r="D124" s="410"/>
      <c r="E124" s="411" t="s">
        <v>60</v>
      </c>
      <c r="G124" s="550"/>
      <c r="H124" s="916"/>
      <c r="I124" s="916"/>
      <c r="J124" s="917"/>
    </row>
    <row r="125" spans="2:15" s="274" customFormat="1" outlineLevel="1">
      <c r="B125" s="403">
        <v>8.01</v>
      </c>
      <c r="C125" s="284" t="s">
        <v>376</v>
      </c>
      <c r="D125" s="406" t="s">
        <v>71</v>
      </c>
      <c r="E125" s="407">
        <v>200</v>
      </c>
      <c r="G125" s="550"/>
      <c r="H125" s="916"/>
      <c r="I125" s="916"/>
      <c r="J125" s="917"/>
    </row>
    <row r="126" spans="2:15" s="274" customFormat="1" outlineLevel="1">
      <c r="B126" s="403">
        <v>8.02</v>
      </c>
      <c r="C126" s="284" t="s">
        <v>1011</v>
      </c>
      <c r="D126" s="406" t="s">
        <v>71</v>
      </c>
      <c r="E126" s="407">
        <v>480</v>
      </c>
      <c r="G126" s="550"/>
      <c r="H126" s="916"/>
      <c r="I126" s="916"/>
      <c r="J126" s="917"/>
    </row>
    <row r="127" spans="2:15" s="274" customFormat="1" outlineLevel="1">
      <c r="B127" s="403">
        <v>8.0299999999999994</v>
      </c>
      <c r="C127" s="284" t="s">
        <v>84</v>
      </c>
      <c r="D127" s="406" t="s">
        <v>71</v>
      </c>
      <c r="E127" s="407">
        <v>450</v>
      </c>
      <c r="G127" s="550"/>
      <c r="H127" s="916"/>
      <c r="I127" s="916"/>
      <c r="J127" s="917"/>
    </row>
    <row r="128" spans="2:15" s="274" customFormat="1" outlineLevel="1">
      <c r="B128" s="403">
        <v>8.0399999999999991</v>
      </c>
      <c r="C128" s="284" t="s">
        <v>525</v>
      </c>
      <c r="D128" s="406" t="s">
        <v>23</v>
      </c>
      <c r="E128" s="407">
        <v>16.39</v>
      </c>
      <c r="G128" s="550"/>
      <c r="H128" s="916"/>
      <c r="I128" s="916"/>
      <c r="J128" s="917"/>
    </row>
    <row r="129" spans="2:10" s="274" customFormat="1" outlineLevel="1">
      <c r="B129" s="403">
        <v>8.0500000000000007</v>
      </c>
      <c r="C129" s="284" t="s">
        <v>239</v>
      </c>
      <c r="D129" s="406" t="s">
        <v>23</v>
      </c>
      <c r="E129" s="407">
        <v>27.79</v>
      </c>
      <c r="G129" s="550"/>
      <c r="H129" s="916"/>
      <c r="I129" s="916"/>
      <c r="J129" s="917"/>
    </row>
    <row r="130" spans="2:10" s="274" customFormat="1" outlineLevel="1">
      <c r="B130" s="403">
        <v>8.06</v>
      </c>
      <c r="C130" s="284" t="s">
        <v>85</v>
      </c>
      <c r="D130" s="406" t="s">
        <v>23</v>
      </c>
      <c r="E130" s="407">
        <v>82.3</v>
      </c>
      <c r="G130" s="550"/>
      <c r="H130" s="916"/>
      <c r="I130" s="916"/>
      <c r="J130" s="917"/>
    </row>
    <row r="131" spans="2:10" s="274" customFormat="1" outlineLevel="1">
      <c r="B131" s="403">
        <v>8.07</v>
      </c>
      <c r="C131" s="284" t="s">
        <v>14</v>
      </c>
      <c r="D131" s="406" t="s">
        <v>23</v>
      </c>
      <c r="E131" s="407">
        <v>102.47</v>
      </c>
      <c r="G131" s="550"/>
      <c r="H131" s="916"/>
      <c r="I131" s="916"/>
      <c r="J131" s="917"/>
    </row>
    <row r="132" spans="2:10" s="274" customFormat="1" outlineLevel="1">
      <c r="B132" s="403">
        <v>8.08</v>
      </c>
      <c r="C132" s="284" t="s">
        <v>359</v>
      </c>
      <c r="D132" s="406" t="s">
        <v>71</v>
      </c>
      <c r="E132" s="407">
        <v>130</v>
      </c>
      <c r="G132" s="550"/>
      <c r="H132" s="916"/>
      <c r="I132" s="916"/>
      <c r="J132" s="917"/>
    </row>
    <row r="133" spans="2:10" s="274" customFormat="1" outlineLevel="1">
      <c r="B133" s="403">
        <v>8.09</v>
      </c>
      <c r="C133" s="284" t="s">
        <v>360</v>
      </c>
      <c r="D133" s="406" t="s">
        <v>71</v>
      </c>
      <c r="E133" s="407">
        <v>50</v>
      </c>
      <c r="G133" s="550"/>
      <c r="H133" s="916"/>
      <c r="I133" s="916"/>
      <c r="J133" s="917"/>
    </row>
    <row r="134" spans="2:10" s="274" customFormat="1" outlineLevel="1">
      <c r="B134" s="403">
        <v>8.1</v>
      </c>
      <c r="C134" s="284" t="s">
        <v>61</v>
      </c>
      <c r="D134" s="406" t="s">
        <v>23</v>
      </c>
      <c r="E134" s="407">
        <v>40</v>
      </c>
      <c r="G134" s="550"/>
      <c r="H134" s="916"/>
      <c r="I134" s="916"/>
      <c r="J134" s="917"/>
    </row>
    <row r="135" spans="2:10" s="274" customFormat="1" outlineLevel="1">
      <c r="B135" s="403">
        <v>8.11</v>
      </c>
      <c r="C135" s="284" t="s">
        <v>62</v>
      </c>
      <c r="D135" s="406" t="s">
        <v>23</v>
      </c>
      <c r="E135" s="407">
        <v>60</v>
      </c>
      <c r="G135" s="550"/>
      <c r="H135" s="916"/>
      <c r="I135" s="916"/>
      <c r="J135" s="917"/>
    </row>
    <row r="136" spans="2:10" s="274" customFormat="1" outlineLevel="1">
      <c r="B136" s="403">
        <v>8.1199999999999992</v>
      </c>
      <c r="C136" s="284" t="s">
        <v>86</v>
      </c>
      <c r="D136" s="406" t="s">
        <v>23</v>
      </c>
      <c r="E136" s="407">
        <v>61.17</v>
      </c>
      <c r="G136" s="550"/>
      <c r="H136" s="916"/>
      <c r="I136" s="916"/>
      <c r="J136" s="917"/>
    </row>
    <row r="137" spans="2:10" s="274" customFormat="1" outlineLevel="1">
      <c r="B137" s="403">
        <v>8.1300000000000008</v>
      </c>
      <c r="C137" s="284" t="s">
        <v>87</v>
      </c>
      <c r="D137" s="406" t="s">
        <v>23</v>
      </c>
      <c r="E137" s="407">
        <v>86.17</v>
      </c>
      <c r="G137" s="550"/>
      <c r="H137" s="916"/>
      <c r="I137" s="916"/>
      <c r="J137" s="917"/>
    </row>
    <row r="138" spans="2:10" s="274" customFormat="1" outlineLevel="1">
      <c r="B138" s="403">
        <v>8.14</v>
      </c>
      <c r="C138" s="284" t="s">
        <v>434</v>
      </c>
      <c r="D138" s="406" t="s">
        <v>23</v>
      </c>
      <c r="E138" s="407">
        <v>14.5</v>
      </c>
      <c r="G138" s="550"/>
      <c r="H138" s="916"/>
      <c r="I138" s="916"/>
      <c r="J138" s="917"/>
    </row>
    <row r="139" spans="2:10" s="274" customFormat="1" outlineLevel="1">
      <c r="B139" s="403">
        <v>8.15</v>
      </c>
      <c r="C139" s="284" t="s">
        <v>88</v>
      </c>
      <c r="D139" s="406" t="s">
        <v>23</v>
      </c>
      <c r="E139" s="407">
        <v>200</v>
      </c>
      <c r="G139" s="550"/>
      <c r="H139" s="916"/>
      <c r="I139" s="916"/>
      <c r="J139" s="917"/>
    </row>
    <row r="140" spans="2:10" s="274" customFormat="1" outlineLevel="1">
      <c r="B140" s="403">
        <v>8.16</v>
      </c>
      <c r="C140" s="284" t="s">
        <v>290</v>
      </c>
      <c r="D140" s="406" t="s">
        <v>23</v>
      </c>
      <c r="E140" s="407">
        <v>165</v>
      </c>
      <c r="G140" s="550"/>
      <c r="H140" s="916"/>
      <c r="I140" s="916"/>
      <c r="J140" s="917"/>
    </row>
    <row r="141" spans="2:10" s="274" customFormat="1" outlineLevel="1">
      <c r="B141" s="403">
        <v>8.17</v>
      </c>
      <c r="C141" s="284" t="s">
        <v>89</v>
      </c>
      <c r="D141" s="406" t="s">
        <v>23</v>
      </c>
      <c r="E141" s="407">
        <v>205</v>
      </c>
      <c r="G141" s="550"/>
      <c r="H141" s="916"/>
      <c r="I141" s="916"/>
      <c r="J141" s="917"/>
    </row>
    <row r="142" spans="2:10" s="274" customFormat="1" outlineLevel="1">
      <c r="B142" s="403">
        <v>8.18</v>
      </c>
      <c r="C142" s="284" t="s">
        <v>90</v>
      </c>
      <c r="D142" s="406" t="s">
        <v>23</v>
      </c>
      <c r="E142" s="407">
        <v>225</v>
      </c>
      <c r="G142" s="550"/>
      <c r="H142" s="916"/>
      <c r="I142" s="916"/>
      <c r="J142" s="917"/>
    </row>
    <row r="143" spans="2:10" s="274" customFormat="1" outlineLevel="1">
      <c r="B143" s="403">
        <v>8.19</v>
      </c>
      <c r="C143" s="284" t="s">
        <v>1012</v>
      </c>
      <c r="D143" s="406" t="s">
        <v>23</v>
      </c>
      <c r="E143" s="407">
        <v>6.5</v>
      </c>
      <c r="G143" s="550"/>
      <c r="H143" s="916"/>
      <c r="I143" s="916"/>
      <c r="J143" s="917"/>
    </row>
    <row r="144" spans="2:10" s="274" customFormat="1" outlineLevel="1">
      <c r="B144" s="403">
        <v>8.1999999999999993</v>
      </c>
      <c r="C144" s="284" t="s">
        <v>1013</v>
      </c>
      <c r="D144" s="406" t="s">
        <v>23</v>
      </c>
      <c r="E144" s="407">
        <v>6.5</v>
      </c>
      <c r="G144" s="550"/>
      <c r="H144" s="916"/>
      <c r="I144" s="916"/>
      <c r="J144" s="917"/>
    </row>
    <row r="145" spans="2:10" s="274" customFormat="1" outlineLevel="1">
      <c r="B145" s="403">
        <v>8.2100000000000009</v>
      </c>
      <c r="C145" s="284" t="s">
        <v>583</v>
      </c>
      <c r="D145" s="406" t="s">
        <v>23</v>
      </c>
      <c r="E145" s="407">
        <v>16.39</v>
      </c>
      <c r="G145" s="550"/>
      <c r="H145" s="916"/>
      <c r="I145" s="916"/>
      <c r="J145" s="917"/>
    </row>
    <row r="146" spans="2:10" s="274" customFormat="1" outlineLevel="1">
      <c r="B146" s="403">
        <v>8.2200000000000006</v>
      </c>
      <c r="C146" s="284" t="s">
        <v>907</v>
      </c>
      <c r="D146" s="406" t="s">
        <v>23</v>
      </c>
      <c r="E146" s="407">
        <v>12.09</v>
      </c>
      <c r="G146" s="550"/>
      <c r="H146" s="916"/>
      <c r="I146" s="916"/>
      <c r="J146" s="917"/>
    </row>
    <row r="147" spans="2:10" s="274" customFormat="1" outlineLevel="1">
      <c r="B147" s="403">
        <v>8.23</v>
      </c>
      <c r="C147" s="284" t="s">
        <v>91</v>
      </c>
      <c r="D147" s="406" t="s">
        <v>71</v>
      </c>
      <c r="E147" s="407">
        <v>50.5</v>
      </c>
      <c r="G147" s="550"/>
      <c r="H147" s="916"/>
      <c r="I147" s="916"/>
      <c r="J147" s="917"/>
    </row>
    <row r="148" spans="2:10" s="274" customFormat="1" outlineLevel="1">
      <c r="B148" s="403">
        <v>8.24</v>
      </c>
      <c r="C148" s="284" t="s">
        <v>526</v>
      </c>
      <c r="D148" s="406" t="s">
        <v>71</v>
      </c>
      <c r="E148" s="407">
        <v>67.069999999999993</v>
      </c>
      <c r="G148" s="550"/>
      <c r="H148" s="916"/>
      <c r="I148" s="916"/>
      <c r="J148" s="917"/>
    </row>
    <row r="149" spans="2:10" s="274" customFormat="1" outlineLevel="1">
      <c r="B149" s="403">
        <v>8.25</v>
      </c>
      <c r="C149" s="284" t="s">
        <v>92</v>
      </c>
      <c r="D149" s="406" t="s">
        <v>71</v>
      </c>
      <c r="E149" s="407">
        <v>350</v>
      </c>
      <c r="G149" s="550"/>
      <c r="H149" s="916"/>
      <c r="I149" s="916"/>
      <c r="J149" s="917"/>
    </row>
    <row r="150" spans="2:10" s="274" customFormat="1" outlineLevel="1">
      <c r="B150" s="403">
        <v>8.26</v>
      </c>
      <c r="C150" s="284" t="s">
        <v>93</v>
      </c>
      <c r="D150" s="406" t="s">
        <v>71</v>
      </c>
      <c r="E150" s="407">
        <v>250</v>
      </c>
      <c r="G150" s="550"/>
      <c r="H150" s="916"/>
      <c r="I150" s="916"/>
      <c r="J150" s="917"/>
    </row>
    <row r="151" spans="2:10" s="274" customFormat="1" outlineLevel="1">
      <c r="B151" s="403">
        <v>8.27</v>
      </c>
      <c r="C151" s="284" t="s">
        <v>94</v>
      </c>
      <c r="D151" s="406" t="s">
        <v>71</v>
      </c>
      <c r="E151" s="407">
        <v>122.98</v>
      </c>
      <c r="G151" s="550"/>
      <c r="H151" s="916"/>
      <c r="I151" s="916"/>
      <c r="J151" s="917"/>
    </row>
    <row r="152" spans="2:10" s="274" customFormat="1" outlineLevel="1">
      <c r="B152" s="403">
        <v>8.2799999999999994</v>
      </c>
      <c r="C152" s="284" t="s">
        <v>127</v>
      </c>
      <c r="D152" s="406" t="s">
        <v>23</v>
      </c>
      <c r="E152" s="407">
        <v>18</v>
      </c>
      <c r="G152" s="550"/>
      <c r="H152" s="916"/>
      <c r="I152" s="916"/>
      <c r="J152" s="917"/>
    </row>
    <row r="153" spans="2:10" s="274" customFormat="1" outlineLevel="1">
      <c r="B153" s="403">
        <v>8.2899999999999991</v>
      </c>
      <c r="C153" s="408" t="s">
        <v>119</v>
      </c>
      <c r="D153" s="406" t="s">
        <v>71</v>
      </c>
      <c r="E153" s="407">
        <v>1953.5</v>
      </c>
      <c r="G153" s="550"/>
      <c r="H153" s="916"/>
      <c r="I153" s="916"/>
      <c r="J153" s="917"/>
    </row>
    <row r="154" spans="2:10" s="274" customFormat="1" outlineLevel="1">
      <c r="B154" s="403">
        <v>8.3000000000000007</v>
      </c>
      <c r="C154" s="408" t="s">
        <v>202</v>
      </c>
      <c r="D154" s="406" t="s">
        <v>71</v>
      </c>
      <c r="E154" s="407">
        <v>2566</v>
      </c>
      <c r="G154" s="550"/>
      <c r="H154" s="916"/>
      <c r="I154" s="916"/>
      <c r="J154" s="917"/>
    </row>
    <row r="155" spans="2:10" s="274" customFormat="1" outlineLevel="1">
      <c r="B155" s="403">
        <v>8.31</v>
      </c>
      <c r="C155" s="408" t="s">
        <v>435</v>
      </c>
      <c r="D155" s="406" t="s">
        <v>71</v>
      </c>
      <c r="E155" s="407">
        <v>500</v>
      </c>
      <c r="G155" s="550"/>
      <c r="H155" s="916"/>
      <c r="I155" s="916"/>
      <c r="J155" s="917"/>
    </row>
    <row r="156" spans="2:10" s="274" customFormat="1" outlineLevel="1">
      <c r="B156" s="403">
        <v>8.32</v>
      </c>
      <c r="C156" s="408" t="s">
        <v>584</v>
      </c>
      <c r="D156" s="406" t="s">
        <v>71</v>
      </c>
      <c r="E156" s="407">
        <v>67.069999999999993</v>
      </c>
      <c r="G156" s="550"/>
      <c r="H156" s="916"/>
      <c r="I156" s="916"/>
      <c r="J156" s="917"/>
    </row>
    <row r="157" spans="2:10" s="274" customFormat="1" outlineLevel="1">
      <c r="B157" s="403">
        <v>8.33</v>
      </c>
      <c r="C157" s="284" t="s">
        <v>908</v>
      </c>
      <c r="D157" s="406" t="s">
        <v>71</v>
      </c>
      <c r="E157" s="407">
        <v>90.91</v>
      </c>
      <c r="G157" s="550"/>
      <c r="H157" s="916"/>
      <c r="I157" s="916"/>
      <c r="J157" s="917"/>
    </row>
    <row r="158" spans="2:10" s="274" customFormat="1" outlineLevel="1">
      <c r="B158" s="403">
        <v>8.34</v>
      </c>
      <c r="C158" s="435" t="s">
        <v>1008</v>
      </c>
      <c r="D158" s="406" t="s">
        <v>71</v>
      </c>
      <c r="E158" s="430">
        <v>90.91</v>
      </c>
      <c r="G158" s="550"/>
      <c r="H158" s="916"/>
      <c r="I158" s="916"/>
      <c r="J158" s="917"/>
    </row>
    <row r="159" spans="2:10" s="274" customFormat="1" outlineLevel="1">
      <c r="B159" s="403">
        <v>8.35</v>
      </c>
      <c r="C159" s="435" t="s">
        <v>1009</v>
      </c>
      <c r="D159" s="406" t="s">
        <v>71</v>
      </c>
      <c r="E159" s="430">
        <v>25</v>
      </c>
      <c r="G159" s="550"/>
      <c r="H159" s="916"/>
      <c r="I159" s="916"/>
      <c r="J159" s="917"/>
    </row>
    <row r="160" spans="2:10" s="274" customFormat="1">
      <c r="B160" s="422">
        <v>9</v>
      </c>
      <c r="C160" s="305" t="s">
        <v>15</v>
      </c>
      <c r="D160" s="410"/>
      <c r="E160" s="411"/>
      <c r="G160" s="550"/>
      <c r="H160" s="916"/>
      <c r="I160" s="916"/>
      <c r="J160" s="917"/>
    </row>
    <row r="161" spans="2:10" s="274" customFormat="1" outlineLevel="1">
      <c r="B161" s="403">
        <v>9.01</v>
      </c>
      <c r="C161" s="284" t="s">
        <v>1072</v>
      </c>
      <c r="D161" s="406" t="s">
        <v>23</v>
      </c>
      <c r="E161" s="407">
        <v>4.5</v>
      </c>
      <c r="G161" s="550"/>
      <c r="H161" s="916"/>
      <c r="I161" s="916"/>
      <c r="J161" s="917"/>
    </row>
    <row r="162" spans="2:10" s="274" customFormat="1" outlineLevel="1">
      <c r="B162" s="403">
        <v>9.02</v>
      </c>
      <c r="C162" s="284" t="s">
        <v>95</v>
      </c>
      <c r="D162" s="406" t="s">
        <v>23</v>
      </c>
      <c r="E162" s="407">
        <v>5.5</v>
      </c>
      <c r="G162" s="550"/>
      <c r="H162" s="916"/>
      <c r="I162" s="916"/>
      <c r="J162" s="917"/>
    </row>
    <row r="163" spans="2:10" s="274" customFormat="1" outlineLevel="1">
      <c r="B163" s="403">
        <v>9.0299999999999994</v>
      </c>
      <c r="C163" s="284" t="s">
        <v>585</v>
      </c>
      <c r="D163" s="406" t="s">
        <v>23</v>
      </c>
      <c r="E163" s="407">
        <v>4.5</v>
      </c>
      <c r="G163" s="550"/>
      <c r="H163" s="916"/>
      <c r="I163" s="916"/>
      <c r="J163" s="917"/>
    </row>
    <row r="164" spans="2:10" s="274" customFormat="1" outlineLevel="1">
      <c r="B164" s="403">
        <v>9.0399999999999991</v>
      </c>
      <c r="C164" s="284" t="s">
        <v>291</v>
      </c>
      <c r="D164" s="406" t="s">
        <v>23</v>
      </c>
      <c r="E164" s="407">
        <v>3</v>
      </c>
      <c r="G164" s="550"/>
      <c r="H164" s="916"/>
      <c r="I164" s="916"/>
      <c r="J164" s="917"/>
    </row>
    <row r="165" spans="2:10" s="274" customFormat="1" outlineLevel="1">
      <c r="B165" s="403">
        <v>9.0500000000000007</v>
      </c>
      <c r="C165" s="284" t="s">
        <v>96</v>
      </c>
      <c r="D165" s="406" t="s">
        <v>23</v>
      </c>
      <c r="E165" s="407">
        <v>9.98</v>
      </c>
      <c r="G165" s="550"/>
      <c r="H165" s="916"/>
      <c r="I165" s="916"/>
      <c r="J165" s="917"/>
    </row>
    <row r="166" spans="2:10" s="274" customFormat="1" outlineLevel="1">
      <c r="B166" s="403">
        <v>9.06</v>
      </c>
      <c r="C166" s="284" t="s">
        <v>97</v>
      </c>
      <c r="D166" s="406" t="s">
        <v>23</v>
      </c>
      <c r="E166" s="407">
        <v>9.7100000000000009</v>
      </c>
      <c r="G166" s="550"/>
      <c r="H166" s="916"/>
      <c r="I166" s="916"/>
      <c r="J166" s="917"/>
    </row>
    <row r="167" spans="2:10" s="274" customFormat="1" outlineLevel="1">
      <c r="B167" s="403">
        <v>9.07</v>
      </c>
      <c r="C167" s="284" t="s">
        <v>109</v>
      </c>
      <c r="D167" s="406" t="s">
        <v>23</v>
      </c>
      <c r="E167" s="407">
        <v>3</v>
      </c>
      <c r="G167" s="550"/>
      <c r="H167" s="916"/>
      <c r="I167" s="916"/>
      <c r="J167" s="917"/>
    </row>
    <row r="168" spans="2:10" s="274" customFormat="1" outlineLevel="1">
      <c r="B168" s="403">
        <v>9.08</v>
      </c>
      <c r="C168" s="284" t="s">
        <v>909</v>
      </c>
      <c r="D168" s="406" t="s">
        <v>71</v>
      </c>
      <c r="E168" s="407">
        <v>90.91</v>
      </c>
      <c r="G168" s="550"/>
      <c r="H168" s="916"/>
      <c r="I168" s="916"/>
      <c r="J168" s="917"/>
    </row>
    <row r="169" spans="2:10" s="274" customFormat="1">
      <c r="B169" s="275">
        <v>10</v>
      </c>
      <c r="C169" s="423" t="s">
        <v>582</v>
      </c>
      <c r="D169" s="424"/>
      <c r="E169" s="425"/>
      <c r="G169" s="550"/>
      <c r="H169" s="916"/>
      <c r="I169" s="916"/>
      <c r="J169" s="917"/>
    </row>
    <row r="170" spans="2:10" s="274" customFormat="1" outlineLevel="1">
      <c r="B170" s="403">
        <v>10.01</v>
      </c>
      <c r="C170" s="284" t="s">
        <v>909</v>
      </c>
      <c r="D170" s="406" t="s">
        <v>71</v>
      </c>
      <c r="E170" s="407">
        <v>90.91</v>
      </c>
      <c r="G170" s="550"/>
      <c r="H170" s="916"/>
      <c r="I170" s="916"/>
      <c r="J170" s="917"/>
    </row>
    <row r="171" spans="2:10" s="274" customFormat="1" outlineLevel="1">
      <c r="B171" s="403">
        <v>10.02</v>
      </c>
      <c r="C171" s="284" t="s">
        <v>430</v>
      </c>
      <c r="D171" s="406" t="s">
        <v>71</v>
      </c>
      <c r="E171" s="407">
        <v>85</v>
      </c>
      <c r="G171" s="550"/>
      <c r="H171" s="916"/>
      <c r="I171" s="916"/>
      <c r="J171" s="917"/>
    </row>
    <row r="172" spans="2:10" s="274" customFormat="1" outlineLevel="1">
      <c r="B172" s="403">
        <v>10.029999999999999</v>
      </c>
      <c r="C172" s="408" t="s">
        <v>431</v>
      </c>
      <c r="D172" s="409" t="s">
        <v>71</v>
      </c>
      <c r="E172" s="407">
        <v>400</v>
      </c>
      <c r="G172" s="550"/>
      <c r="H172" s="916"/>
      <c r="I172" s="916"/>
      <c r="J172" s="917"/>
    </row>
    <row r="173" spans="2:10" s="274" customFormat="1" outlineLevel="1">
      <c r="B173" s="403">
        <v>10.039999999999999</v>
      </c>
      <c r="C173" s="408" t="s">
        <v>436</v>
      </c>
      <c r="D173" s="409" t="s">
        <v>71</v>
      </c>
      <c r="E173" s="407">
        <v>400</v>
      </c>
      <c r="G173" s="550"/>
      <c r="H173" s="916"/>
      <c r="I173" s="916"/>
      <c r="J173" s="917"/>
    </row>
    <row r="174" spans="2:10" s="274" customFormat="1">
      <c r="B174" s="275">
        <v>11</v>
      </c>
      <c r="C174" s="305" t="s">
        <v>98</v>
      </c>
      <c r="D174" s="410"/>
      <c r="E174" s="411"/>
      <c r="G174" s="550"/>
      <c r="H174" s="916"/>
      <c r="I174" s="916"/>
      <c r="J174" s="917"/>
    </row>
    <row r="175" spans="2:10" s="274" customFormat="1" outlineLevel="1">
      <c r="B175" s="403">
        <v>11.01</v>
      </c>
      <c r="C175" s="284" t="s">
        <v>16</v>
      </c>
      <c r="D175" s="406" t="s">
        <v>71</v>
      </c>
      <c r="E175" s="407">
        <v>12</v>
      </c>
      <c r="G175" s="550"/>
      <c r="H175" s="916"/>
      <c r="I175" s="916"/>
      <c r="J175" s="917"/>
    </row>
    <row r="176" spans="2:10" s="274" customFormat="1" outlineLevel="1">
      <c r="B176" s="403">
        <v>11.02</v>
      </c>
      <c r="C176" s="284" t="s">
        <v>17</v>
      </c>
      <c r="D176" s="406" t="s">
        <v>71</v>
      </c>
      <c r="E176" s="407">
        <v>15</v>
      </c>
      <c r="G176" s="550"/>
      <c r="H176" s="916"/>
      <c r="I176" s="916"/>
      <c r="J176" s="917"/>
    </row>
    <row r="177" spans="2:10" s="274" customFormat="1" outlineLevel="1">
      <c r="B177" s="403">
        <v>11.03</v>
      </c>
      <c r="C177" s="284" t="s">
        <v>99</v>
      </c>
      <c r="D177" s="406" t="s">
        <v>71</v>
      </c>
      <c r="E177" s="407">
        <v>25</v>
      </c>
      <c r="G177" s="550"/>
      <c r="H177" s="916"/>
      <c r="I177" s="916"/>
      <c r="J177" s="917"/>
    </row>
    <row r="178" spans="2:10" s="274" customFormat="1" outlineLevel="1">
      <c r="B178" s="403">
        <v>11.04</v>
      </c>
      <c r="C178" s="284" t="s">
        <v>100</v>
      </c>
      <c r="D178" s="406" t="s">
        <v>71</v>
      </c>
      <c r="E178" s="407">
        <v>20</v>
      </c>
      <c r="G178" s="550"/>
      <c r="H178" s="916"/>
      <c r="I178" s="916"/>
      <c r="J178" s="917"/>
    </row>
    <row r="179" spans="2:10" s="274" customFormat="1" outlineLevel="1">
      <c r="B179" s="403">
        <v>11.05</v>
      </c>
      <c r="C179" s="284" t="s">
        <v>110</v>
      </c>
      <c r="D179" s="406" t="s">
        <v>71</v>
      </c>
      <c r="E179" s="407">
        <v>350</v>
      </c>
      <c r="G179" s="550"/>
      <c r="H179" s="916"/>
      <c r="I179" s="916"/>
      <c r="J179" s="917"/>
    </row>
    <row r="180" spans="2:10" s="274" customFormat="1">
      <c r="B180" s="275">
        <v>12</v>
      </c>
      <c r="C180" s="423" t="s">
        <v>101</v>
      </c>
      <c r="D180" s="426"/>
      <c r="E180" s="421"/>
      <c r="G180" s="550"/>
      <c r="H180" s="916"/>
      <c r="I180" s="916"/>
      <c r="J180" s="917"/>
    </row>
    <row r="181" spans="2:10" s="274" customFormat="1" outlineLevel="1">
      <c r="B181" s="403">
        <v>12.01</v>
      </c>
      <c r="C181" s="284" t="s">
        <v>102</v>
      </c>
      <c r="D181" s="406" t="s">
        <v>71</v>
      </c>
      <c r="E181" s="407">
        <v>145.35</v>
      </c>
      <c r="G181" s="550"/>
      <c r="H181" s="916"/>
      <c r="I181" s="916"/>
      <c r="J181" s="917"/>
    </row>
    <row r="182" spans="2:10" s="274" customFormat="1" outlineLevel="1">
      <c r="B182" s="403">
        <v>12.02</v>
      </c>
      <c r="C182" s="284" t="s">
        <v>103</v>
      </c>
      <c r="D182" s="406" t="s">
        <v>23</v>
      </c>
      <c r="E182" s="407">
        <v>9.3699999999999992</v>
      </c>
      <c r="G182" s="550"/>
      <c r="H182" s="916"/>
      <c r="I182" s="916"/>
      <c r="J182" s="917"/>
    </row>
    <row r="183" spans="2:10" s="274" customFormat="1" outlineLevel="1">
      <c r="B183" s="403">
        <v>12.03</v>
      </c>
      <c r="C183" s="284" t="s">
        <v>104</v>
      </c>
      <c r="D183" s="406" t="s">
        <v>71</v>
      </c>
      <c r="E183" s="407">
        <v>946.8</v>
      </c>
      <c r="G183" s="550"/>
      <c r="H183" s="916"/>
      <c r="I183" s="916"/>
      <c r="J183" s="917"/>
    </row>
    <row r="184" spans="2:10" s="274" customFormat="1" outlineLevel="1">
      <c r="B184" s="403">
        <v>12.04</v>
      </c>
      <c r="C184" s="284" t="s">
        <v>105</v>
      </c>
      <c r="D184" s="406" t="s">
        <v>71</v>
      </c>
      <c r="E184" s="407">
        <v>771.01</v>
      </c>
      <c r="G184" s="550"/>
      <c r="H184" s="916"/>
      <c r="I184" s="916"/>
      <c r="J184" s="917"/>
    </row>
    <row r="185" spans="2:10" s="274" customFormat="1" outlineLevel="1">
      <c r="B185" s="403">
        <v>12.05</v>
      </c>
      <c r="C185" s="284" t="s">
        <v>106</v>
      </c>
      <c r="D185" s="406" t="s">
        <v>71</v>
      </c>
      <c r="E185" s="407">
        <v>682.35</v>
      </c>
      <c r="G185" s="550"/>
      <c r="H185" s="916"/>
      <c r="I185" s="916"/>
      <c r="J185" s="917"/>
    </row>
    <row r="186" spans="2:10" s="274" customFormat="1" outlineLevel="1">
      <c r="B186" s="403">
        <v>12.06</v>
      </c>
      <c r="C186" s="284" t="s">
        <v>113</v>
      </c>
      <c r="D186" s="406" t="s">
        <v>71</v>
      </c>
      <c r="E186" s="407">
        <v>276</v>
      </c>
      <c r="G186" s="550"/>
      <c r="H186" s="916"/>
      <c r="I186" s="916"/>
      <c r="J186" s="917"/>
    </row>
    <row r="187" spans="2:10" s="274" customFormat="1" outlineLevel="1">
      <c r="B187" s="403">
        <v>12.07</v>
      </c>
      <c r="C187" s="284" t="s">
        <v>114</v>
      </c>
      <c r="D187" s="406" t="s">
        <v>71</v>
      </c>
      <c r="E187" s="407">
        <v>425.96</v>
      </c>
      <c r="G187" s="550"/>
      <c r="H187" s="916"/>
      <c r="I187" s="916"/>
      <c r="J187" s="917"/>
    </row>
    <row r="188" spans="2:10" s="274" customFormat="1" outlineLevel="1">
      <c r="B188" s="403">
        <v>12.08</v>
      </c>
      <c r="C188" s="284" t="s">
        <v>281</v>
      </c>
      <c r="D188" s="406" t="s">
        <v>71</v>
      </c>
      <c r="E188" s="407">
        <v>586.95000000000005</v>
      </c>
      <c r="G188" s="550"/>
      <c r="H188" s="916"/>
      <c r="I188" s="916"/>
      <c r="J188" s="917"/>
    </row>
    <row r="189" spans="2:10" s="274" customFormat="1" outlineLevel="1">
      <c r="B189" s="403">
        <v>12.09</v>
      </c>
      <c r="C189" s="284" t="s">
        <v>115</v>
      </c>
      <c r="D189" s="406" t="s">
        <v>71</v>
      </c>
      <c r="E189" s="407">
        <v>478</v>
      </c>
      <c r="G189" s="550"/>
      <c r="H189" s="916"/>
      <c r="I189" s="916"/>
      <c r="J189" s="917"/>
    </row>
    <row r="190" spans="2:10" s="274" customFormat="1" outlineLevel="1">
      <c r="B190" s="403">
        <v>12.1</v>
      </c>
      <c r="C190" s="284" t="s">
        <v>231</v>
      </c>
      <c r="D190" s="406" t="s">
        <v>23</v>
      </c>
      <c r="E190" s="407">
        <v>14.38</v>
      </c>
      <c r="G190" s="550"/>
      <c r="H190" s="916"/>
      <c r="I190" s="916"/>
      <c r="J190" s="917"/>
    </row>
    <row r="191" spans="2:10" s="274" customFormat="1" outlineLevel="1">
      <c r="B191" s="403">
        <v>12.11</v>
      </c>
      <c r="C191" s="284" t="s">
        <v>292</v>
      </c>
      <c r="D191" s="406" t="s">
        <v>23</v>
      </c>
      <c r="E191" s="407">
        <v>11.5</v>
      </c>
      <c r="G191" s="550"/>
      <c r="H191" s="916"/>
      <c r="I191" s="916"/>
      <c r="J191" s="917"/>
    </row>
    <row r="192" spans="2:10" s="274" customFormat="1" outlineLevel="1">
      <c r="B192" s="403">
        <v>12.12</v>
      </c>
      <c r="C192" s="284" t="s">
        <v>232</v>
      </c>
      <c r="D192" s="406" t="s">
        <v>23</v>
      </c>
      <c r="E192" s="407">
        <v>25.88</v>
      </c>
      <c r="G192" s="550"/>
      <c r="H192" s="916"/>
      <c r="I192" s="916"/>
      <c r="J192" s="917"/>
    </row>
    <row r="193" spans="2:10" s="274" customFormat="1" outlineLevel="1">
      <c r="B193" s="403">
        <v>12.13</v>
      </c>
      <c r="C193" s="284" t="s">
        <v>233</v>
      </c>
      <c r="D193" s="406" t="s">
        <v>23</v>
      </c>
      <c r="E193" s="407">
        <v>51.749999999999993</v>
      </c>
      <c r="G193" s="550"/>
      <c r="H193" s="916"/>
      <c r="I193" s="916"/>
      <c r="J193" s="917"/>
    </row>
    <row r="194" spans="2:10" s="274" customFormat="1" outlineLevel="1">
      <c r="B194" s="403">
        <v>12.14</v>
      </c>
      <c r="C194" s="284" t="s">
        <v>107</v>
      </c>
      <c r="D194" s="406" t="s">
        <v>108</v>
      </c>
      <c r="E194" s="407">
        <v>505.99999999999994</v>
      </c>
      <c r="G194" s="550"/>
      <c r="H194" s="916"/>
      <c r="I194" s="916"/>
      <c r="J194" s="917"/>
    </row>
    <row r="195" spans="2:10" s="274" customFormat="1" outlineLevel="1">
      <c r="B195" s="403">
        <v>12.15</v>
      </c>
      <c r="C195" s="284" t="s">
        <v>116</v>
      </c>
      <c r="D195" s="406" t="s">
        <v>71</v>
      </c>
      <c r="E195" s="407">
        <v>23</v>
      </c>
      <c r="G195" s="550"/>
      <c r="H195" s="916"/>
      <c r="I195" s="916"/>
      <c r="J195" s="917"/>
    </row>
    <row r="196" spans="2:10" s="274" customFormat="1" outlineLevel="1">
      <c r="B196" s="275">
        <v>13</v>
      </c>
      <c r="C196" s="427" t="s">
        <v>753</v>
      </c>
      <c r="D196" s="410"/>
      <c r="E196" s="411"/>
      <c r="G196" s="550" t="s">
        <v>24</v>
      </c>
      <c r="H196" s="916" t="s">
        <v>947</v>
      </c>
      <c r="I196" s="916"/>
      <c r="J196" s="917"/>
    </row>
    <row r="197" spans="2:10" s="274" customFormat="1" outlineLevel="1">
      <c r="B197" s="520">
        <v>13.01</v>
      </c>
      <c r="C197" s="521" t="s">
        <v>836</v>
      </c>
      <c r="D197" s="522" t="s">
        <v>71</v>
      </c>
      <c r="E197" s="515">
        <v>210.57</v>
      </c>
      <c r="G197" s="550">
        <v>1.32</v>
      </c>
      <c r="H197" s="916">
        <f>E197/G197</f>
        <v>159.52272727272725</v>
      </c>
      <c r="I197" s="916"/>
      <c r="J197" s="917"/>
    </row>
    <row r="198" spans="2:10" s="274" customFormat="1" outlineLevel="1">
      <c r="B198" s="520">
        <v>13.02</v>
      </c>
      <c r="C198" s="521" t="s">
        <v>837</v>
      </c>
      <c r="D198" s="522" t="s">
        <v>71</v>
      </c>
      <c r="E198" s="515">
        <v>252.69</v>
      </c>
      <c r="G198" s="550">
        <v>1.65</v>
      </c>
      <c r="H198" s="916">
        <f t="shared" ref="H198:H199" si="0">E198/G198</f>
        <v>153.14545454545456</v>
      </c>
      <c r="I198" s="916"/>
      <c r="J198" s="917"/>
    </row>
    <row r="199" spans="2:10" s="274" customFormat="1" outlineLevel="1">
      <c r="B199" s="520">
        <v>13.03</v>
      </c>
      <c r="C199" s="521" t="s">
        <v>838</v>
      </c>
      <c r="D199" s="522" t="s">
        <v>71</v>
      </c>
      <c r="E199" s="515">
        <v>159.18</v>
      </c>
      <c r="G199" s="550">
        <v>2.2000000000000002</v>
      </c>
      <c r="H199" s="916">
        <f t="shared" si="0"/>
        <v>72.354545454545445</v>
      </c>
      <c r="I199" s="916"/>
      <c r="J199" s="917"/>
    </row>
    <row r="200" spans="2:10" s="274" customFormat="1" ht="24" outlineLevel="1">
      <c r="B200" s="520">
        <v>13.04</v>
      </c>
      <c r="C200" s="521" t="s">
        <v>1046</v>
      </c>
      <c r="D200" s="522" t="s">
        <v>71</v>
      </c>
      <c r="E200" s="515">
        <v>186.55</v>
      </c>
      <c r="G200" s="550"/>
      <c r="H200" s="916"/>
      <c r="I200" s="916"/>
      <c r="J200" s="917"/>
    </row>
    <row r="201" spans="2:10" s="274" customFormat="1" outlineLevel="1">
      <c r="B201" s="520">
        <v>13.05</v>
      </c>
      <c r="C201" s="521" t="s">
        <v>1205</v>
      </c>
      <c r="D201" s="522" t="s">
        <v>71</v>
      </c>
      <c r="E201" s="515">
        <v>71.069999999999993</v>
      </c>
      <c r="G201" s="550"/>
      <c r="H201" s="916"/>
      <c r="I201" s="916"/>
      <c r="J201" s="917"/>
    </row>
    <row r="202" spans="2:10" s="274" customFormat="1" outlineLevel="1">
      <c r="B202" s="520">
        <v>13.06</v>
      </c>
      <c r="C202" s="521" t="s">
        <v>1048</v>
      </c>
      <c r="D202" s="522" t="s">
        <v>71</v>
      </c>
      <c r="E202" s="515">
        <v>75.069999999999993</v>
      </c>
      <c r="G202" s="550"/>
      <c r="H202" s="916"/>
      <c r="I202" s="916"/>
      <c r="J202" s="917"/>
    </row>
    <row r="203" spans="2:10" s="274" customFormat="1" outlineLevel="1">
      <c r="B203" s="520">
        <v>13.07</v>
      </c>
      <c r="C203" s="521" t="s">
        <v>1049</v>
      </c>
      <c r="D203" s="522" t="s">
        <v>71</v>
      </c>
      <c r="E203" s="616">
        <v>79.069999999999993</v>
      </c>
      <c r="G203" s="550"/>
      <c r="H203" s="916"/>
      <c r="I203" s="916"/>
      <c r="J203" s="917"/>
    </row>
    <row r="204" spans="2:10" s="274" customFormat="1" outlineLevel="1">
      <c r="B204" s="520">
        <v>13.08</v>
      </c>
      <c r="C204" s="521" t="s">
        <v>1206</v>
      </c>
      <c r="D204" s="522" t="s">
        <v>71</v>
      </c>
      <c r="E204" s="515">
        <v>45.12</v>
      </c>
      <c r="G204" s="550"/>
      <c r="H204" s="916"/>
      <c r="I204" s="916"/>
      <c r="J204" s="917"/>
    </row>
    <row r="205" spans="2:10" s="274" customFormat="1" outlineLevel="1">
      <c r="B205" s="520">
        <v>13.09</v>
      </c>
      <c r="C205" s="521" t="s">
        <v>1050</v>
      </c>
      <c r="D205" s="522" t="s">
        <v>71</v>
      </c>
      <c r="E205" s="515">
        <v>55.12</v>
      </c>
      <c r="G205" s="550"/>
      <c r="H205" s="916"/>
      <c r="I205" s="916"/>
      <c r="J205" s="917"/>
    </row>
    <row r="206" spans="2:10" s="274" customFormat="1" outlineLevel="1">
      <c r="B206" s="520">
        <v>13.1</v>
      </c>
      <c r="C206" s="521" t="s">
        <v>1051</v>
      </c>
      <c r="D206" s="522" t="s">
        <v>71</v>
      </c>
      <c r="E206" s="515">
        <v>65.12</v>
      </c>
      <c r="G206" s="550"/>
      <c r="H206" s="916"/>
      <c r="I206" s="916"/>
      <c r="J206" s="917"/>
    </row>
    <row r="207" spans="2:10" s="274" customFormat="1" outlineLevel="1">
      <c r="B207" s="520">
        <v>13.11</v>
      </c>
      <c r="C207" s="521" t="s">
        <v>1052</v>
      </c>
      <c r="D207" s="522" t="s">
        <v>71</v>
      </c>
      <c r="E207" s="515">
        <v>75.12</v>
      </c>
      <c r="G207" s="550"/>
      <c r="H207" s="916"/>
      <c r="I207" s="916"/>
      <c r="J207" s="917"/>
    </row>
    <row r="208" spans="2:10" s="274" customFormat="1" outlineLevel="1">
      <c r="B208" s="520">
        <v>13.12</v>
      </c>
      <c r="C208" s="521" t="s">
        <v>752</v>
      </c>
      <c r="D208" s="522" t="s">
        <v>23</v>
      </c>
      <c r="E208" s="515">
        <v>4.57</v>
      </c>
      <c r="G208" s="550"/>
      <c r="H208" s="916"/>
      <c r="I208" s="916"/>
      <c r="J208" s="917"/>
    </row>
    <row r="209" spans="2:11" s="274" customFormat="1" outlineLevel="1">
      <c r="B209" s="520">
        <v>13.13</v>
      </c>
      <c r="C209" s="521" t="s">
        <v>751</v>
      </c>
      <c r="D209" s="522" t="s">
        <v>71</v>
      </c>
      <c r="E209" s="515">
        <v>228</v>
      </c>
      <c r="G209" s="550"/>
      <c r="H209" s="916"/>
      <c r="I209" s="916"/>
      <c r="J209" s="917"/>
    </row>
    <row r="210" spans="2:11" s="274" customFormat="1" outlineLevel="1">
      <c r="B210" s="520">
        <v>13.14</v>
      </c>
      <c r="C210" s="521" t="s">
        <v>750</v>
      </c>
      <c r="D210" s="522" t="s">
        <v>71</v>
      </c>
      <c r="E210" s="515">
        <v>258</v>
      </c>
      <c r="G210" s="550"/>
      <c r="H210" s="916"/>
      <c r="I210" s="916"/>
      <c r="J210" s="917"/>
    </row>
    <row r="211" spans="2:11" s="274" customFormat="1" outlineLevel="1">
      <c r="B211" s="520">
        <v>13.15</v>
      </c>
      <c r="C211" s="521" t="s">
        <v>839</v>
      </c>
      <c r="D211" s="522" t="s">
        <v>71</v>
      </c>
      <c r="E211" s="515">
        <v>90</v>
      </c>
      <c r="G211" s="550"/>
      <c r="H211" s="916"/>
      <c r="I211" s="916"/>
      <c r="J211" s="917"/>
    </row>
    <row r="212" spans="2:11" s="274" customFormat="1" outlineLevel="1">
      <c r="B212" s="520">
        <v>13.16</v>
      </c>
      <c r="C212" s="521"/>
      <c r="D212" s="522"/>
      <c r="E212" s="515"/>
      <c r="G212" s="550"/>
      <c r="H212" s="916"/>
      <c r="I212" s="916"/>
      <c r="J212" s="917"/>
    </row>
    <row r="213" spans="2:11" s="274" customFormat="1" ht="13.8" customHeight="1">
      <c r="B213" s="275">
        <v>14</v>
      </c>
      <c r="C213" s="427" t="s">
        <v>685</v>
      </c>
      <c r="D213" s="410"/>
      <c r="E213" s="411"/>
      <c r="G213" s="550"/>
      <c r="H213" s="916"/>
      <c r="I213" s="916"/>
      <c r="J213" s="917"/>
    </row>
    <row r="214" spans="2:11" s="274" customFormat="1" ht="24" outlineLevel="1">
      <c r="B214" s="428">
        <v>14.01</v>
      </c>
      <c r="C214" s="284" t="s">
        <v>686</v>
      </c>
      <c r="D214" s="429" t="s">
        <v>71</v>
      </c>
      <c r="E214" s="430">
        <v>3100</v>
      </c>
      <c r="G214" s="550"/>
      <c r="H214" s="916"/>
      <c r="I214" s="916"/>
      <c r="J214" s="917"/>
      <c r="K214" s="523"/>
    </row>
    <row r="215" spans="2:11" s="274" customFormat="1" ht="24" outlineLevel="1">
      <c r="B215" s="428">
        <v>14.02</v>
      </c>
      <c r="C215" s="431" t="s">
        <v>687</v>
      </c>
      <c r="D215" s="429" t="s">
        <v>71</v>
      </c>
      <c r="E215" s="430">
        <v>3100</v>
      </c>
      <c r="G215" s="550"/>
      <c r="H215" s="916"/>
      <c r="I215" s="916"/>
      <c r="J215" s="917"/>
    </row>
    <row r="216" spans="2:11" s="274" customFormat="1" outlineLevel="1">
      <c r="B216" s="428">
        <v>14.03</v>
      </c>
      <c r="C216" s="431" t="s">
        <v>688</v>
      </c>
      <c r="D216" s="429" t="s">
        <v>71</v>
      </c>
      <c r="E216" s="430">
        <v>3100</v>
      </c>
      <c r="G216" s="550"/>
      <c r="H216" s="916"/>
      <c r="I216" s="916"/>
      <c r="J216" s="917"/>
    </row>
    <row r="217" spans="2:11" s="274" customFormat="1" ht="13.8" customHeight="1" outlineLevel="1">
      <c r="B217" s="428">
        <v>14.04</v>
      </c>
      <c r="C217" s="431" t="s">
        <v>689</v>
      </c>
      <c r="D217" s="429" t="s">
        <v>71</v>
      </c>
      <c r="E217" s="430">
        <v>3100</v>
      </c>
      <c r="G217" s="550"/>
      <c r="H217" s="916"/>
      <c r="I217" s="916"/>
      <c r="J217" s="917"/>
      <c r="K217" s="524"/>
    </row>
    <row r="218" spans="2:11" s="274" customFormat="1" ht="24" outlineLevel="1">
      <c r="B218" s="428">
        <v>14.05</v>
      </c>
      <c r="C218" s="431" t="s">
        <v>690</v>
      </c>
      <c r="D218" s="429" t="s">
        <v>71</v>
      </c>
      <c r="E218" s="430">
        <v>2650</v>
      </c>
      <c r="G218" s="550"/>
      <c r="H218" s="916"/>
      <c r="I218" s="916"/>
      <c r="J218" s="917"/>
      <c r="K218" s="524"/>
    </row>
    <row r="219" spans="2:11" s="274" customFormat="1" ht="24" outlineLevel="1">
      <c r="B219" s="428">
        <v>14.06</v>
      </c>
      <c r="C219" s="431" t="s">
        <v>691</v>
      </c>
      <c r="D219" s="429" t="s">
        <v>71</v>
      </c>
      <c r="E219" s="430">
        <v>2650</v>
      </c>
      <c r="G219" s="550"/>
      <c r="H219" s="916"/>
      <c r="I219" s="916"/>
      <c r="J219" s="917"/>
      <c r="K219" s="524"/>
    </row>
    <row r="220" spans="2:11" s="274" customFormat="1" ht="24" outlineLevel="1">
      <c r="B220" s="428">
        <v>14.07</v>
      </c>
      <c r="C220" s="431" t="s">
        <v>692</v>
      </c>
      <c r="D220" s="429" t="s">
        <v>71</v>
      </c>
      <c r="E220" s="430">
        <v>450</v>
      </c>
      <c r="G220" s="550"/>
      <c r="H220" s="916"/>
      <c r="I220" s="916"/>
      <c r="J220" s="917"/>
      <c r="K220" s="524"/>
    </row>
    <row r="221" spans="2:11" s="274" customFormat="1" ht="24" outlineLevel="1">
      <c r="B221" s="428">
        <v>14.08</v>
      </c>
      <c r="C221" s="431" t="s">
        <v>693</v>
      </c>
      <c r="D221" s="429" t="s">
        <v>71</v>
      </c>
      <c r="E221" s="430">
        <v>450</v>
      </c>
      <c r="G221" s="550"/>
      <c r="H221" s="916"/>
      <c r="I221" s="916"/>
      <c r="J221" s="917"/>
      <c r="K221" s="524"/>
    </row>
    <row r="222" spans="2:11" s="274" customFormat="1" ht="13.8" customHeight="1" outlineLevel="1">
      <c r="B222" s="428">
        <v>14.09</v>
      </c>
      <c r="C222" s="431" t="s">
        <v>694</v>
      </c>
      <c r="D222" s="429" t="s">
        <v>71</v>
      </c>
      <c r="E222" s="430">
        <v>1800</v>
      </c>
      <c r="G222" s="550"/>
      <c r="H222" s="916"/>
      <c r="I222" s="916"/>
      <c r="J222" s="917"/>
      <c r="K222" s="524"/>
    </row>
    <row r="223" spans="2:11" s="274" customFormat="1" ht="24" outlineLevel="1">
      <c r="B223" s="428">
        <v>14.1</v>
      </c>
      <c r="C223" s="431" t="s">
        <v>695</v>
      </c>
      <c r="D223" s="429" t="s">
        <v>71</v>
      </c>
      <c r="E223" s="430">
        <v>1800</v>
      </c>
      <c r="G223" s="550"/>
      <c r="H223" s="916"/>
      <c r="I223" s="916"/>
      <c r="J223" s="917"/>
      <c r="K223" s="524"/>
    </row>
    <row r="224" spans="2:11" s="274" customFormat="1" ht="24" outlineLevel="1">
      <c r="B224" s="551" t="s">
        <v>957</v>
      </c>
      <c r="C224" s="552" t="s">
        <v>959</v>
      </c>
      <c r="D224" s="553" t="s">
        <v>71</v>
      </c>
      <c r="E224" s="554">
        <v>200</v>
      </c>
      <c r="G224" s="550"/>
      <c r="H224" s="916"/>
      <c r="I224" s="916"/>
      <c r="J224" s="917"/>
      <c r="K224" s="524"/>
    </row>
    <row r="225" spans="1:15" s="274" customFormat="1" ht="24" outlineLevel="1">
      <c r="B225" s="551" t="s">
        <v>958</v>
      </c>
      <c r="C225" s="552" t="s">
        <v>960</v>
      </c>
      <c r="D225" s="553" t="s">
        <v>71</v>
      </c>
      <c r="E225" s="554">
        <v>1600</v>
      </c>
      <c r="G225" s="550"/>
      <c r="H225" s="916"/>
      <c r="I225" s="916"/>
      <c r="J225" s="917"/>
      <c r="K225" s="524"/>
    </row>
    <row r="226" spans="1:15" s="274" customFormat="1" ht="13.8" customHeight="1" outlineLevel="1">
      <c r="B226" s="428">
        <v>14.11</v>
      </c>
      <c r="C226" s="431" t="s">
        <v>699</v>
      </c>
      <c r="D226" s="429" t="s">
        <v>71</v>
      </c>
      <c r="E226" s="430">
        <v>2800</v>
      </c>
      <c r="G226" s="550"/>
      <c r="H226" s="916"/>
      <c r="I226" s="916"/>
      <c r="J226" s="917"/>
      <c r="K226" s="524"/>
    </row>
    <row r="227" spans="1:15" s="274" customFormat="1" ht="13.8" customHeight="1" outlineLevel="1">
      <c r="B227" s="428">
        <v>14.12</v>
      </c>
      <c r="C227" s="431" t="s">
        <v>696</v>
      </c>
      <c r="D227" s="429" t="s">
        <v>71</v>
      </c>
      <c r="E227" s="430">
        <v>3000</v>
      </c>
      <c r="G227" s="550"/>
      <c r="H227" s="916"/>
      <c r="I227" s="916"/>
      <c r="J227" s="917"/>
      <c r="K227" s="524"/>
    </row>
    <row r="228" spans="1:15" s="274" customFormat="1" ht="13.8" customHeight="1" outlineLevel="1">
      <c r="B228" s="428">
        <v>14.13</v>
      </c>
      <c r="C228" s="431" t="s">
        <v>697</v>
      </c>
      <c r="D228" s="429" t="s">
        <v>71</v>
      </c>
      <c r="E228" s="430">
        <v>900</v>
      </c>
      <c r="G228" s="550"/>
      <c r="H228" s="916"/>
      <c r="I228" s="916"/>
      <c r="J228" s="917"/>
      <c r="K228" s="524"/>
    </row>
    <row r="229" spans="1:15" s="274" customFormat="1" ht="13.8" customHeight="1" outlineLevel="1">
      <c r="B229" s="428">
        <v>14.14</v>
      </c>
      <c r="C229" s="431" t="s">
        <v>698</v>
      </c>
      <c r="D229" s="429" t="s">
        <v>71</v>
      </c>
      <c r="E229" s="430">
        <v>1500</v>
      </c>
      <c r="G229" s="550"/>
      <c r="H229" s="916"/>
      <c r="I229" s="916"/>
      <c r="J229" s="917"/>
      <c r="K229" s="524"/>
    </row>
    <row r="230" spans="1:15" s="274" customFormat="1">
      <c r="B230" s="275">
        <v>15</v>
      </c>
      <c r="C230" s="305" t="s">
        <v>18</v>
      </c>
      <c r="D230" s="410"/>
      <c r="E230" s="411"/>
      <c r="G230" s="550"/>
      <c r="H230" s="916"/>
      <c r="I230" s="916"/>
      <c r="J230" s="917"/>
    </row>
    <row r="231" spans="1:15" s="274" customFormat="1" ht="13.8" customHeight="1" outlineLevel="1">
      <c r="B231" s="403">
        <v>15.01</v>
      </c>
      <c r="C231" s="284" t="s">
        <v>1233</v>
      </c>
      <c r="D231" s="406" t="s">
        <v>71</v>
      </c>
      <c r="E231" s="407">
        <v>1000</v>
      </c>
      <c r="G231" s="550"/>
      <c r="H231" s="916"/>
      <c r="I231" s="916"/>
      <c r="J231" s="917"/>
    </row>
    <row r="232" spans="1:15" s="274" customFormat="1" ht="13.8" customHeight="1" outlineLevel="1">
      <c r="B232" s="403">
        <v>15.02</v>
      </c>
      <c r="C232" s="284" t="s">
        <v>1234</v>
      </c>
      <c r="D232" s="406" t="s">
        <v>71</v>
      </c>
      <c r="E232" s="407">
        <v>1000</v>
      </c>
      <c r="G232" s="550"/>
      <c r="H232" s="916"/>
      <c r="I232" s="916"/>
      <c r="J232" s="917"/>
      <c r="N232" s="523"/>
      <c r="O232" s="523"/>
    </row>
    <row r="233" spans="1:15" s="274" customFormat="1" ht="13.8" customHeight="1" outlineLevel="1">
      <c r="B233" s="403">
        <v>15.03</v>
      </c>
      <c r="C233" s="284" t="s">
        <v>122</v>
      </c>
      <c r="D233" s="406" t="s">
        <v>71</v>
      </c>
      <c r="E233" s="407">
        <v>250</v>
      </c>
      <c r="G233" s="550"/>
      <c r="H233" s="916"/>
      <c r="I233" s="916"/>
      <c r="J233" s="917"/>
      <c r="M233" s="523"/>
    </row>
    <row r="234" spans="1:15" s="274" customFormat="1" ht="13.8" customHeight="1">
      <c r="B234" s="275">
        <v>16</v>
      </c>
      <c r="C234" s="427" t="s">
        <v>19</v>
      </c>
      <c r="D234" s="410"/>
      <c r="E234" s="411"/>
      <c r="G234" s="550"/>
      <c r="H234" s="916"/>
      <c r="I234" s="916"/>
      <c r="J234" s="917"/>
    </row>
    <row r="235" spans="1:15" s="523" customFormat="1" ht="13.8" customHeight="1" outlineLevel="1">
      <c r="B235" s="403">
        <v>16.010000000000002</v>
      </c>
      <c r="C235" s="284" t="s">
        <v>20</v>
      </c>
      <c r="D235" s="285" t="s">
        <v>953</v>
      </c>
      <c r="E235" s="286">
        <v>130</v>
      </c>
      <c r="G235" s="550"/>
      <c r="H235" s="916"/>
      <c r="I235" s="916"/>
      <c r="J235" s="917"/>
      <c r="K235" s="274"/>
      <c r="M235" s="274"/>
      <c r="N235" s="524"/>
      <c r="O235" s="524"/>
    </row>
    <row r="236" spans="1:15" s="274" customFormat="1" ht="13.8" customHeight="1" outlineLevel="1">
      <c r="B236" s="403">
        <v>16.02</v>
      </c>
      <c r="C236" s="214" t="s">
        <v>21</v>
      </c>
      <c r="D236" s="215" t="s">
        <v>24</v>
      </c>
      <c r="E236" s="286">
        <v>150</v>
      </c>
      <c r="G236" s="550"/>
      <c r="H236" s="916"/>
      <c r="I236" s="916"/>
      <c r="J236" s="917"/>
      <c r="M236" s="524"/>
      <c r="N236" s="524"/>
      <c r="O236" s="524"/>
    </row>
    <row r="237" spans="1:15" s="274" customFormat="1" ht="13.8" customHeight="1" outlineLevel="1">
      <c r="A237" s="1"/>
      <c r="B237" s="403">
        <v>16.03</v>
      </c>
      <c r="C237" s="214" t="s">
        <v>954</v>
      </c>
      <c r="D237" s="215" t="s">
        <v>71</v>
      </c>
      <c r="E237" s="286">
        <v>20</v>
      </c>
      <c r="G237" s="550"/>
      <c r="H237" s="916"/>
      <c r="I237" s="916"/>
      <c r="J237" s="917"/>
      <c r="M237" s="524"/>
    </row>
    <row r="238" spans="1:15" s="524" customFormat="1" ht="13.8" customHeight="1" outlineLevel="1">
      <c r="A238" s="4"/>
      <c r="B238" s="403">
        <v>16.04</v>
      </c>
      <c r="C238" s="214" t="s">
        <v>111</v>
      </c>
      <c r="D238" s="215" t="s">
        <v>71</v>
      </c>
      <c r="E238" s="286">
        <v>40</v>
      </c>
      <c r="G238" s="550"/>
      <c r="H238" s="916"/>
      <c r="I238" s="916"/>
      <c r="J238" s="917"/>
      <c r="K238" s="274"/>
      <c r="M238" s="274"/>
      <c r="N238" s="274"/>
      <c r="O238" s="274"/>
    </row>
    <row r="239" spans="1:15" s="524" customFormat="1" ht="13.8" customHeight="1" outlineLevel="1">
      <c r="A239" s="274"/>
      <c r="B239" s="403">
        <v>16.05</v>
      </c>
      <c r="C239" s="216" t="s">
        <v>203</v>
      </c>
      <c r="D239" s="217" t="s">
        <v>71</v>
      </c>
      <c r="E239" s="432">
        <v>500</v>
      </c>
      <c r="G239" s="550"/>
      <c r="H239" s="916"/>
      <c r="I239" s="916"/>
      <c r="J239" s="917"/>
      <c r="K239" s="274"/>
      <c r="M239" s="274"/>
      <c r="N239" s="274"/>
      <c r="O239" s="274"/>
    </row>
    <row r="240" spans="1:15" s="274" customFormat="1" ht="13.8" customHeight="1" outlineLevel="1">
      <c r="A240" s="524"/>
      <c r="B240" s="403">
        <v>16.059999999999999</v>
      </c>
      <c r="C240" s="216" t="s">
        <v>236</v>
      </c>
      <c r="D240" s="217" t="s">
        <v>23</v>
      </c>
      <c r="E240" s="432">
        <v>2.8</v>
      </c>
      <c r="G240" s="550"/>
      <c r="H240" s="916"/>
      <c r="I240" s="916"/>
      <c r="J240" s="917"/>
    </row>
    <row r="241" spans="1:15" s="274" customFormat="1" ht="13.8" customHeight="1" outlineLevel="1">
      <c r="A241" s="524"/>
      <c r="B241" s="556">
        <v>16.07</v>
      </c>
      <c r="C241" s="557" t="s">
        <v>859</v>
      </c>
      <c r="D241" s="558" t="s">
        <v>858</v>
      </c>
      <c r="E241" s="559">
        <v>75</v>
      </c>
      <c r="G241" s="550"/>
      <c r="H241" s="916"/>
      <c r="I241" s="916"/>
      <c r="J241" s="917"/>
    </row>
    <row r="242" spans="1:15" s="274" customFormat="1" ht="13.8" customHeight="1" outlineLevel="1">
      <c r="A242" s="524"/>
      <c r="B242" s="571" t="s">
        <v>955</v>
      </c>
      <c r="C242" s="572" t="s">
        <v>956</v>
      </c>
      <c r="D242" s="573" t="s">
        <v>858</v>
      </c>
      <c r="E242" s="574">
        <v>150</v>
      </c>
      <c r="G242" s="550"/>
      <c r="H242" s="916"/>
      <c r="I242" s="916"/>
      <c r="J242" s="917"/>
      <c r="N242" s="20"/>
      <c r="O242" s="20"/>
    </row>
    <row r="243" spans="1:15" s="274" customFormat="1" ht="13.8" customHeight="1" outlineLevel="1">
      <c r="A243" s="524"/>
      <c r="B243" s="571">
        <v>16.079999999999998</v>
      </c>
      <c r="C243" s="572" t="s">
        <v>467</v>
      </c>
      <c r="D243" s="573" t="s">
        <v>953</v>
      </c>
      <c r="E243" s="574">
        <v>4500</v>
      </c>
      <c r="G243" s="550"/>
      <c r="H243" s="916"/>
      <c r="I243" s="916"/>
      <c r="J243" s="917"/>
      <c r="M243" s="20"/>
      <c r="N243" s="20"/>
      <c r="O243" s="20"/>
    </row>
    <row r="244" spans="1:15" s="274" customFormat="1" ht="13.8" customHeight="1" outlineLevel="1">
      <c r="A244" s="524"/>
      <c r="B244" s="942">
        <v>16.09</v>
      </c>
      <c r="C244" s="572" t="s">
        <v>421</v>
      </c>
      <c r="D244" s="941" t="s">
        <v>953</v>
      </c>
      <c r="E244" s="574">
        <v>0</v>
      </c>
      <c r="G244" s="550"/>
      <c r="H244" s="916"/>
      <c r="I244" s="916"/>
      <c r="J244" s="917"/>
      <c r="M244" s="20"/>
      <c r="N244" s="20"/>
      <c r="O244" s="20"/>
    </row>
    <row r="245" spans="1:15" s="274" customFormat="1" ht="13.8" customHeight="1" thickBot="1">
      <c r="A245" s="524"/>
      <c r="B245" s="1015">
        <v>16.100000000000001</v>
      </c>
      <c r="C245" s="218" t="s">
        <v>1239</v>
      </c>
      <c r="D245" s="433" t="s">
        <v>1240</v>
      </c>
      <c r="E245" s="434">
        <v>9480</v>
      </c>
      <c r="G245" s="550"/>
      <c r="H245" s="916"/>
      <c r="I245" s="916"/>
      <c r="J245" s="917"/>
      <c r="M245" s="20"/>
      <c r="N245" s="20"/>
      <c r="O245" s="20"/>
    </row>
    <row r="246" spans="1:15" ht="13.8" customHeight="1">
      <c r="A246" s="10"/>
      <c r="B246" s="5"/>
      <c r="C246" s="6"/>
      <c r="D246" s="5"/>
      <c r="E246" s="7"/>
    </row>
    <row r="247" spans="1:15">
      <c r="B247" s="1"/>
      <c r="C247" s="1"/>
      <c r="D247" s="1"/>
      <c r="E247" s="1"/>
    </row>
    <row r="248" spans="1:15" ht="15.6">
      <c r="B248" s="2"/>
      <c r="C248" s="95"/>
      <c r="D248" s="95"/>
      <c r="E248" s="95"/>
    </row>
    <row r="250" spans="1:15" ht="18">
      <c r="B250" s="10"/>
      <c r="C250" s="11"/>
      <c r="D250" s="11"/>
      <c r="E250" s="11"/>
    </row>
    <row r="251" spans="1:15" ht="18">
      <c r="B251" s="10"/>
      <c r="C251" s="11"/>
      <c r="D251" s="1188"/>
      <c r="E251" s="1188"/>
    </row>
    <row r="252" spans="1:15" ht="18">
      <c r="B252" s="10"/>
      <c r="C252" s="11"/>
      <c r="D252" s="1188"/>
      <c r="E252" s="1188"/>
    </row>
  </sheetData>
  <sheetProtection algorithmName="SHA-512" hashValue="jA2vR2oVVvB1bSCVjAmVraZH7zZetc+Xof494KZSIUA0Fwyt6i0xAcqu1zZ6f3BCyDTkthOjBvKaHi2XeD7ldQ==" saltValue="i16003NZmHNafwi7za7yyw==" spinCount="100000" sheet="1" formatCells="0" formatColumns="0" formatRows="0" insertHyperlinks="0" sort="0" autoFilter="0" pivotTables="0"/>
  <mergeCells count="8">
    <mergeCell ref="B12:E12"/>
    <mergeCell ref="D251:E251"/>
    <mergeCell ref="D252:E252"/>
    <mergeCell ref="B2:E2"/>
    <mergeCell ref="D3:E3"/>
    <mergeCell ref="D4:E4"/>
    <mergeCell ref="D5:E5"/>
    <mergeCell ref="D7:E7"/>
  </mergeCells>
  <pageMargins left="0.19685039370078741" right="0.19685039370078741" top="0.74803149606299213" bottom="0.74803149606299213" header="0.31496062992125984" footer="0.31496062992125984"/>
  <pageSetup paperSize="9" scale="50" fitToHeight="2" orientation="portrait" r:id="rId1"/>
  <headerFooter>
    <oddHeader>&amp;LFile: &amp;F&amp;RSheet: &amp;A</oddHeader>
    <oddFooter>&amp;CPage &amp;P of &amp;N&amp;RPrinted: &amp;D at &amp;T</oddFooter>
  </headerFooter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DFA85-D8D0-4DB7-9F47-5B48E605A327}">
  <sheetPr>
    <tabColor rgb="FFC00000"/>
  </sheetPr>
  <dimension ref="B1:D20"/>
  <sheetViews>
    <sheetView workbookViewId="0">
      <selection activeCell="D28" sqref="D28"/>
    </sheetView>
  </sheetViews>
  <sheetFormatPr defaultRowHeight="14.4"/>
  <cols>
    <col min="2" max="2" width="7.5546875" bestFit="1" customWidth="1"/>
    <col min="3" max="3" width="17.77734375" bestFit="1" customWidth="1"/>
    <col min="4" max="4" width="81" bestFit="1" customWidth="1"/>
  </cols>
  <sheetData>
    <row r="1" spans="2:4" ht="15" thickBot="1"/>
    <row r="2" spans="2:4" ht="42" thickBot="1">
      <c r="B2" s="607" t="s">
        <v>999</v>
      </c>
      <c r="C2" s="607" t="s">
        <v>1001</v>
      </c>
      <c r="D2" s="607" t="s">
        <v>1000</v>
      </c>
    </row>
    <row r="3" spans="2:4">
      <c r="B3" s="605"/>
      <c r="C3" s="606" t="s">
        <v>1074</v>
      </c>
      <c r="D3" s="606" t="s">
        <v>1074</v>
      </c>
    </row>
    <row r="4" spans="2:4">
      <c r="B4" s="605">
        <v>1</v>
      </c>
      <c r="C4" s="606" t="s">
        <v>1002</v>
      </c>
      <c r="D4" s="606" t="s">
        <v>1075</v>
      </c>
    </row>
    <row r="5" spans="2:4">
      <c r="B5" s="605">
        <v>2</v>
      </c>
      <c r="C5" s="606" t="s">
        <v>1077</v>
      </c>
      <c r="D5" s="606" t="s">
        <v>1076</v>
      </c>
    </row>
    <row r="6" spans="2:4">
      <c r="B6" s="605">
        <v>3</v>
      </c>
      <c r="C6" s="606" t="s">
        <v>1078</v>
      </c>
      <c r="D6" s="832" t="s">
        <v>1079</v>
      </c>
    </row>
    <row r="7" spans="2:4">
      <c r="B7" s="605">
        <v>4</v>
      </c>
      <c r="C7" s="606" t="s">
        <v>1080</v>
      </c>
      <c r="D7" s="606" t="s">
        <v>1081</v>
      </c>
    </row>
    <row r="8" spans="2:4">
      <c r="B8" s="605">
        <v>5</v>
      </c>
      <c r="C8" s="606" t="s">
        <v>1082</v>
      </c>
      <c r="D8" s="606" t="s">
        <v>1083</v>
      </c>
    </row>
    <row r="9" spans="2:4">
      <c r="B9" s="605">
        <v>6</v>
      </c>
      <c r="C9" s="606" t="s">
        <v>1084</v>
      </c>
      <c r="D9" s="606" t="s">
        <v>1085</v>
      </c>
    </row>
    <row r="10" spans="2:4">
      <c r="B10" s="605">
        <v>7</v>
      </c>
      <c r="C10" s="606" t="s">
        <v>1086</v>
      </c>
      <c r="D10" s="606" t="s">
        <v>1087</v>
      </c>
    </row>
    <row r="11" spans="2:4">
      <c r="B11" s="605">
        <v>8</v>
      </c>
      <c r="C11" s="606" t="s">
        <v>1088</v>
      </c>
      <c r="D11" s="606" t="s">
        <v>1095</v>
      </c>
    </row>
    <row r="12" spans="2:4">
      <c r="B12" s="605"/>
      <c r="C12" s="606" t="s">
        <v>1089</v>
      </c>
      <c r="D12" s="606" t="s">
        <v>1096</v>
      </c>
    </row>
    <row r="13" spans="2:4">
      <c r="B13" s="605"/>
      <c r="C13" s="606" t="s">
        <v>1090</v>
      </c>
      <c r="D13" s="606" t="s">
        <v>1097</v>
      </c>
    </row>
    <row r="14" spans="2:4">
      <c r="B14" s="605"/>
      <c r="C14" s="606" t="s">
        <v>1091</v>
      </c>
      <c r="D14" s="606" t="s">
        <v>1098</v>
      </c>
    </row>
    <row r="15" spans="2:4">
      <c r="B15" s="831"/>
      <c r="C15" s="832" t="s">
        <v>1092</v>
      </c>
      <c r="D15" s="606" t="s">
        <v>1099</v>
      </c>
    </row>
    <row r="16" spans="2:4">
      <c r="B16" s="831"/>
      <c r="C16" s="832" t="s">
        <v>1093</v>
      </c>
      <c r="D16" s="606" t="s">
        <v>1100</v>
      </c>
    </row>
    <row r="17" spans="2:4">
      <c r="B17" s="831"/>
      <c r="C17" s="832" t="s">
        <v>1094</v>
      </c>
      <c r="D17" s="606" t="s">
        <v>1101</v>
      </c>
    </row>
    <row r="18" spans="2:4">
      <c r="B18" s="605">
        <v>9</v>
      </c>
      <c r="C18" s="606" t="s">
        <v>1102</v>
      </c>
      <c r="D18" s="606" t="s">
        <v>1103</v>
      </c>
    </row>
    <row r="19" spans="2:4">
      <c r="B19" s="605">
        <v>10</v>
      </c>
      <c r="C19" s="606" t="s">
        <v>1104</v>
      </c>
      <c r="D19" s="604" t="s">
        <v>1105</v>
      </c>
    </row>
    <row r="20" spans="2:4">
      <c r="B20" s="605">
        <v>11</v>
      </c>
      <c r="C20" s="606" t="s">
        <v>1106</v>
      </c>
      <c r="D20" s="606" t="s">
        <v>1107</v>
      </c>
    </row>
  </sheetData>
  <sheetProtection algorithmName="SHA-512" hashValue="lttLt7Hw3qZ4pbGLnLNVkba54+/3wnBZKexWZC8PGhfruo0okGD4yTCTNHHN6FUW1K5FAKQZOGBonz/pFS/oxw==" saltValue="U8mfbJ5w56dSRXs5E24Tlw==" spinCount="100000" sheet="1" objects="1" scenarios="1"/>
  <phoneticPr fontId="13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AC279"/>
  <sheetViews>
    <sheetView showGridLines="0" topLeftCell="A208" zoomScale="80" zoomScaleNormal="80" workbookViewId="0">
      <selection activeCell="D229" sqref="D229"/>
    </sheetView>
  </sheetViews>
  <sheetFormatPr defaultRowHeight="14.4"/>
  <cols>
    <col min="1" max="1" width="3.33203125" customWidth="1"/>
    <col min="2" max="2" width="26.33203125" customWidth="1"/>
    <col min="3" max="3" width="35.21875" bestFit="1" customWidth="1"/>
    <col min="4" max="4" width="94.88671875" bestFit="1" customWidth="1"/>
    <col min="5" max="5" width="14.33203125" customWidth="1"/>
    <col min="6" max="6" width="20" customWidth="1"/>
    <col min="7" max="7" width="18.44140625" bestFit="1" customWidth="1"/>
    <col min="8" max="8" width="18.77734375" customWidth="1"/>
    <col min="9" max="9" width="14.109375" customWidth="1"/>
    <col min="10" max="10" width="16.88671875" customWidth="1"/>
    <col min="11" max="11" width="18.77734375" customWidth="1"/>
    <col min="12" max="12" width="20.77734375" customWidth="1"/>
    <col min="13" max="13" width="13" customWidth="1"/>
    <col min="14" max="14" width="16.88671875" customWidth="1"/>
    <col min="15" max="15" width="18.77734375" customWidth="1"/>
    <col min="16" max="16" width="20.77734375" customWidth="1"/>
    <col min="17" max="17" width="12.44140625" customWidth="1"/>
    <col min="18" max="18" width="17.109375" customWidth="1"/>
    <col min="19" max="19" width="18.77734375" customWidth="1"/>
    <col min="20" max="20" width="20.77734375" customWidth="1"/>
    <col min="21" max="21" width="13.44140625" customWidth="1"/>
    <col min="22" max="22" width="16.6640625" customWidth="1"/>
    <col min="23" max="23" width="18.77734375" customWidth="1"/>
    <col min="24" max="24" width="20.77734375" customWidth="1"/>
  </cols>
  <sheetData>
    <row r="1" spans="2:24" ht="40.5" customHeight="1" thickBot="1">
      <c r="B1" s="1133" t="str">
        <f>'Infra Build BOQ'!B2:I2</f>
        <v>77K0057591  /  77K0057591</v>
      </c>
      <c r="C1" s="1134"/>
      <c r="D1" s="1134"/>
      <c r="E1" s="1134"/>
      <c r="F1" s="1134"/>
      <c r="G1" s="1134"/>
      <c r="H1" s="1135"/>
    </row>
    <row r="2" spans="2:24" ht="15.6">
      <c r="B2" s="88" t="s">
        <v>1</v>
      </c>
      <c r="C2" s="1136" t="str">
        <f>'Infra Build BOQ'!C3</f>
        <v>77K0057591  /  77K0057591</v>
      </c>
      <c r="D2" s="1137"/>
      <c r="E2" s="1142" t="s">
        <v>362</v>
      </c>
      <c r="F2" s="1143"/>
      <c r="G2" s="1111">
        <f>'Infra Build BOQ'!F3</f>
        <v>0</v>
      </c>
      <c r="H2" s="1113"/>
    </row>
    <row r="3" spans="2:24" ht="15.6">
      <c r="B3" s="89" t="s">
        <v>0</v>
      </c>
      <c r="C3" s="1138" t="str">
        <f>'Infra Build BOQ'!C4</f>
        <v xml:space="preserve">Eletronic Communications Network (Pty) Ltd </v>
      </c>
      <c r="D3" s="1139"/>
      <c r="E3" s="1144" t="s">
        <v>2</v>
      </c>
      <c r="F3" s="1145"/>
      <c r="G3" s="1114" t="str">
        <f>'Infra Build BOQ'!F4</f>
        <v>Ethekwini</v>
      </c>
      <c r="H3" s="1116"/>
    </row>
    <row r="4" spans="2:24" ht="15.6">
      <c r="B4" s="90" t="s">
        <v>437</v>
      </c>
      <c r="C4" s="1138">
        <f>'EXE Dashboard'!C22</f>
        <v>0</v>
      </c>
      <c r="D4" s="1139"/>
      <c r="E4" s="1144" t="s">
        <v>3</v>
      </c>
      <c r="F4" s="1145"/>
      <c r="G4" s="1117" t="str">
        <f>'Infra Build BOQ'!F5</f>
        <v>Date: 2023/08/25</v>
      </c>
      <c r="H4" s="1119"/>
    </row>
    <row r="5" spans="2:24" ht="16.2" thickBot="1">
      <c r="B5" s="29" t="s">
        <v>230</v>
      </c>
      <c r="C5" s="1140" t="s">
        <v>439</v>
      </c>
      <c r="D5" s="1141"/>
      <c r="E5" s="1146" t="s">
        <v>361</v>
      </c>
      <c r="F5" s="1147"/>
      <c r="G5" s="1148" t="str">
        <f>'Infra Build BOQ'!F6</f>
        <v>Phoenix Industrial Access PoP - ECN - Roots Dube Village</v>
      </c>
      <c r="H5" s="1149"/>
    </row>
    <row r="6" spans="2:24" ht="15" thickBot="1"/>
    <row r="7" spans="2:24" ht="15" thickBot="1">
      <c r="B7" s="1130" t="s">
        <v>441</v>
      </c>
      <c r="C7" s="1131"/>
      <c r="D7" s="1131"/>
      <c r="E7" s="1131"/>
      <c r="F7" s="1131"/>
      <c r="G7" s="1131"/>
      <c r="H7" s="1131"/>
      <c r="I7" s="1130" t="s">
        <v>442</v>
      </c>
      <c r="J7" s="1131"/>
      <c r="K7" s="1131"/>
      <c r="L7" s="1131"/>
      <c r="M7" s="1130" t="s">
        <v>443</v>
      </c>
      <c r="N7" s="1131"/>
      <c r="O7" s="1131"/>
      <c r="P7" s="1131"/>
      <c r="Q7" s="1130" t="s">
        <v>444</v>
      </c>
      <c r="R7" s="1131"/>
      <c r="S7" s="1131"/>
      <c r="T7" s="1131"/>
      <c r="U7" s="1130" t="s">
        <v>445</v>
      </c>
      <c r="V7" s="1131"/>
      <c r="W7" s="1131"/>
      <c r="X7" s="1132"/>
    </row>
    <row r="8" spans="2:24" s="249" customFormat="1" ht="31.2">
      <c r="B8" s="245" t="s">
        <v>422</v>
      </c>
      <c r="C8" s="246" t="s">
        <v>270</v>
      </c>
      <c r="D8" s="181" t="s">
        <v>33</v>
      </c>
      <c r="E8" s="181" t="s">
        <v>30</v>
      </c>
      <c r="F8" s="247" t="s">
        <v>31</v>
      </c>
      <c r="G8" s="182" t="s">
        <v>34</v>
      </c>
      <c r="H8" s="248" t="s">
        <v>32</v>
      </c>
      <c r="I8" s="469" t="s">
        <v>31</v>
      </c>
      <c r="J8" s="470" t="s">
        <v>211</v>
      </c>
      <c r="K8" s="471" t="s">
        <v>32</v>
      </c>
      <c r="L8" s="472" t="s">
        <v>212</v>
      </c>
      <c r="M8" s="475" t="s">
        <v>31</v>
      </c>
      <c r="N8" s="476" t="s">
        <v>211</v>
      </c>
      <c r="O8" s="477" t="s">
        <v>32</v>
      </c>
      <c r="P8" s="478" t="s">
        <v>212</v>
      </c>
      <c r="Q8" s="479" t="s">
        <v>31</v>
      </c>
      <c r="R8" s="480" t="s">
        <v>211</v>
      </c>
      <c r="S8" s="481" t="s">
        <v>32</v>
      </c>
      <c r="T8" s="482" t="s">
        <v>212</v>
      </c>
      <c r="U8" s="483" t="s">
        <v>31</v>
      </c>
      <c r="V8" s="484" t="s">
        <v>211</v>
      </c>
      <c r="W8" s="485" t="s">
        <v>32</v>
      </c>
      <c r="X8" s="486" t="s">
        <v>212</v>
      </c>
    </row>
    <row r="9" spans="2:24" ht="15.6" customHeight="1">
      <c r="B9" s="183" t="s">
        <v>423</v>
      </c>
      <c r="C9" s="184" t="s">
        <v>35</v>
      </c>
      <c r="D9" s="186" t="s">
        <v>373</v>
      </c>
      <c r="E9" s="185" t="s">
        <v>23</v>
      </c>
      <c r="F9" s="187">
        <f>'ROUTE INFO'!I25</f>
        <v>0</v>
      </c>
      <c r="G9" s="263">
        <v>29.9</v>
      </c>
      <c r="H9" s="457">
        <f t="shared" ref="H9:H176" si="0">F9*G9</f>
        <v>0</v>
      </c>
      <c r="I9" s="458"/>
      <c r="J9" s="463">
        <f t="shared" ref="J9:J176" si="1">I9+F9</f>
        <v>0</v>
      </c>
      <c r="K9" s="464">
        <f t="shared" ref="K9:K176" si="2">J9*G9</f>
        <v>0</v>
      </c>
      <c r="L9" s="473"/>
      <c r="M9" s="458"/>
      <c r="N9" s="463">
        <f t="shared" ref="N9:N176" si="3">M9+J9</f>
        <v>0</v>
      </c>
      <c r="O9" s="464">
        <f t="shared" ref="O9:O176" si="4">N9*G9</f>
        <v>0</v>
      </c>
      <c r="P9" s="473"/>
      <c r="Q9" s="458"/>
      <c r="R9" s="463">
        <f t="shared" ref="R9:R176" si="5">Q9+N9</f>
        <v>0</v>
      </c>
      <c r="S9" s="464">
        <f t="shared" ref="S9:S176" si="6">R9*G9</f>
        <v>0</v>
      </c>
      <c r="T9" s="473"/>
      <c r="U9" s="458"/>
      <c r="V9" s="463">
        <f t="shared" ref="V9:V176" si="7">U9+R9</f>
        <v>0</v>
      </c>
      <c r="W9" s="464">
        <f t="shared" ref="W9:W176" si="8">V9*G9</f>
        <v>0</v>
      </c>
      <c r="X9" s="459"/>
    </row>
    <row r="10" spans="2:24" ht="15.6" customHeight="1">
      <c r="B10" s="183" t="s">
        <v>423</v>
      </c>
      <c r="C10" s="184" t="s">
        <v>36</v>
      </c>
      <c r="D10" s="186" t="s">
        <v>37</v>
      </c>
      <c r="E10" s="185" t="s">
        <v>23</v>
      </c>
      <c r="F10" s="187">
        <f>'ROUTE INFO'!I28</f>
        <v>0</v>
      </c>
      <c r="G10" s="263">
        <v>93.43</v>
      </c>
      <c r="H10" s="457">
        <f t="shared" si="0"/>
        <v>0</v>
      </c>
      <c r="I10" s="458"/>
      <c r="J10" s="463">
        <f t="shared" si="1"/>
        <v>0</v>
      </c>
      <c r="K10" s="464">
        <f t="shared" si="2"/>
        <v>0</v>
      </c>
      <c r="L10" s="473"/>
      <c r="M10" s="458"/>
      <c r="N10" s="463">
        <f t="shared" si="3"/>
        <v>0</v>
      </c>
      <c r="O10" s="464">
        <f t="shared" si="4"/>
        <v>0</v>
      </c>
      <c r="P10" s="473"/>
      <c r="Q10" s="458"/>
      <c r="R10" s="463">
        <f t="shared" si="5"/>
        <v>0</v>
      </c>
      <c r="S10" s="464">
        <f t="shared" si="6"/>
        <v>0</v>
      </c>
      <c r="T10" s="473"/>
      <c r="U10" s="458"/>
      <c r="V10" s="463">
        <f t="shared" si="7"/>
        <v>0</v>
      </c>
      <c r="W10" s="464">
        <f t="shared" si="8"/>
        <v>0</v>
      </c>
      <c r="X10" s="459"/>
    </row>
    <row r="11" spans="2:24" ht="15.6" customHeight="1">
      <c r="B11" s="183" t="s">
        <v>423</v>
      </c>
      <c r="C11" s="184" t="s">
        <v>38</v>
      </c>
      <c r="D11" s="186" t="s">
        <v>235</v>
      </c>
      <c r="E11" s="185" t="s">
        <v>23</v>
      </c>
      <c r="F11" s="187">
        <f>'ROUTE INFO'!I32</f>
        <v>0</v>
      </c>
      <c r="G11" s="263">
        <v>110.56</v>
      </c>
      <c r="H11" s="457">
        <f t="shared" si="0"/>
        <v>0</v>
      </c>
      <c r="I11" s="458"/>
      <c r="J11" s="463">
        <f t="shared" si="1"/>
        <v>0</v>
      </c>
      <c r="K11" s="464">
        <f t="shared" si="2"/>
        <v>0</v>
      </c>
      <c r="L11" s="473"/>
      <c r="M11" s="458"/>
      <c r="N11" s="463">
        <f t="shared" si="3"/>
        <v>0</v>
      </c>
      <c r="O11" s="464">
        <f t="shared" si="4"/>
        <v>0</v>
      </c>
      <c r="P11" s="473"/>
      <c r="Q11" s="458"/>
      <c r="R11" s="463">
        <f t="shared" si="5"/>
        <v>0</v>
      </c>
      <c r="S11" s="464">
        <f t="shared" si="6"/>
        <v>0</v>
      </c>
      <c r="T11" s="473"/>
      <c r="U11" s="458"/>
      <c r="V11" s="463">
        <f t="shared" si="7"/>
        <v>0</v>
      </c>
      <c r="W11" s="464">
        <f t="shared" si="8"/>
        <v>0</v>
      </c>
      <c r="X11" s="459"/>
    </row>
    <row r="12" spans="2:24" ht="15.6" customHeight="1">
      <c r="B12" s="183" t="s">
        <v>423</v>
      </c>
      <c r="C12" s="184" t="s">
        <v>592</v>
      </c>
      <c r="D12" s="186" t="s">
        <v>600</v>
      </c>
      <c r="E12" s="185" t="s">
        <v>26</v>
      </c>
      <c r="F12" s="187">
        <f>'ROUTE INFO'!I40</f>
        <v>0</v>
      </c>
      <c r="G12" s="263">
        <v>309.5</v>
      </c>
      <c r="H12" s="457">
        <f t="shared" ref="H12" si="9">F12*G12</f>
        <v>0</v>
      </c>
      <c r="I12" s="458"/>
      <c r="J12" s="463">
        <f t="shared" ref="J12" si="10">I12+F12</f>
        <v>0</v>
      </c>
      <c r="K12" s="464">
        <f t="shared" ref="K12" si="11">J12*G12</f>
        <v>0</v>
      </c>
      <c r="L12" s="473"/>
      <c r="M12" s="458"/>
      <c r="N12" s="463">
        <f t="shared" ref="N12" si="12">M12+J12</f>
        <v>0</v>
      </c>
      <c r="O12" s="464">
        <f t="shared" ref="O12" si="13">N12*G12</f>
        <v>0</v>
      </c>
      <c r="P12" s="473"/>
      <c r="Q12" s="458"/>
      <c r="R12" s="463">
        <f t="shared" ref="R12" si="14">Q12+N12</f>
        <v>0</v>
      </c>
      <c r="S12" s="464">
        <f t="shared" ref="S12" si="15">R12*G12</f>
        <v>0</v>
      </c>
      <c r="T12" s="473"/>
      <c r="U12" s="458"/>
      <c r="V12" s="463">
        <f t="shared" ref="V12" si="16">U12+R12</f>
        <v>0</v>
      </c>
      <c r="W12" s="464">
        <f t="shared" ref="W12" si="17">V12*G12</f>
        <v>0</v>
      </c>
      <c r="X12" s="459"/>
    </row>
    <row r="13" spans="2:24" ht="15.6" customHeight="1">
      <c r="B13" s="183" t="s">
        <v>423</v>
      </c>
      <c r="C13" s="184" t="s">
        <v>593</v>
      </c>
      <c r="D13" s="186" t="s">
        <v>601</v>
      </c>
      <c r="E13" s="185" t="s">
        <v>26</v>
      </c>
      <c r="F13" s="187">
        <f>'ROUTE INFO'!I41</f>
        <v>0</v>
      </c>
      <c r="G13" s="263">
        <v>412.5</v>
      </c>
      <c r="H13" s="457">
        <f>F13*G13</f>
        <v>0</v>
      </c>
      <c r="I13" s="458"/>
      <c r="J13" s="463">
        <f>I13+F13</f>
        <v>0</v>
      </c>
      <c r="K13" s="464">
        <f>J13*G13</f>
        <v>0</v>
      </c>
      <c r="L13" s="473"/>
      <c r="M13" s="458"/>
      <c r="N13" s="463">
        <f>M13+J13</f>
        <v>0</v>
      </c>
      <c r="O13" s="464">
        <f>N13*G13</f>
        <v>0</v>
      </c>
      <c r="P13" s="473"/>
      <c r="Q13" s="458"/>
      <c r="R13" s="463">
        <f>Q13+N13</f>
        <v>0</v>
      </c>
      <c r="S13" s="464">
        <f>R13*G13</f>
        <v>0</v>
      </c>
      <c r="T13" s="473"/>
      <c r="U13" s="458"/>
      <c r="V13" s="463">
        <f>U13+R13</f>
        <v>0</v>
      </c>
      <c r="W13" s="464">
        <f>V13*G13</f>
        <v>0</v>
      </c>
      <c r="X13" s="459"/>
    </row>
    <row r="14" spans="2:24" ht="15.6" customHeight="1">
      <c r="B14" s="183" t="s">
        <v>423</v>
      </c>
      <c r="C14" s="184" t="s">
        <v>598</v>
      </c>
      <c r="D14" s="186" t="s">
        <v>602</v>
      </c>
      <c r="E14" s="185" t="s">
        <v>26</v>
      </c>
      <c r="F14" s="187">
        <f>'ROUTE INFO'!I42</f>
        <v>0</v>
      </c>
      <c r="G14" s="263">
        <v>618.5</v>
      </c>
      <c r="H14" s="457">
        <f t="shared" ref="H14:H15" si="18">F14*G14</f>
        <v>0</v>
      </c>
      <c r="I14" s="458"/>
      <c r="J14" s="463">
        <f t="shared" ref="J14:J15" si="19">I14+F14</f>
        <v>0</v>
      </c>
      <c r="K14" s="464">
        <f t="shared" ref="K14:K15" si="20">J14*G14</f>
        <v>0</v>
      </c>
      <c r="L14" s="473"/>
      <c r="M14" s="458"/>
      <c r="N14" s="463">
        <f t="shared" ref="N14:N15" si="21">M14+J14</f>
        <v>0</v>
      </c>
      <c r="O14" s="464">
        <f t="shared" ref="O14:O15" si="22">N14*G14</f>
        <v>0</v>
      </c>
      <c r="P14" s="473"/>
      <c r="Q14" s="458"/>
      <c r="R14" s="463">
        <f t="shared" ref="R14:R15" si="23">Q14+N14</f>
        <v>0</v>
      </c>
      <c r="S14" s="464">
        <f t="shared" ref="S14:S15" si="24">R14*G14</f>
        <v>0</v>
      </c>
      <c r="T14" s="473"/>
      <c r="U14" s="458"/>
      <c r="V14" s="463">
        <f t="shared" ref="V14:V15" si="25">U14+R14</f>
        <v>0</v>
      </c>
      <c r="W14" s="464">
        <f t="shared" ref="W14:W15" si="26">V14*G14</f>
        <v>0</v>
      </c>
      <c r="X14" s="459"/>
    </row>
    <row r="15" spans="2:24" ht="15.6" customHeight="1">
      <c r="B15" s="183" t="s">
        <v>423</v>
      </c>
      <c r="C15" s="184" t="s">
        <v>599</v>
      </c>
      <c r="D15" s="186" t="s">
        <v>603</v>
      </c>
      <c r="E15" s="185" t="s">
        <v>26</v>
      </c>
      <c r="F15" s="187">
        <f>'ROUTE INFO'!I43</f>
        <v>0</v>
      </c>
      <c r="G15" s="263">
        <v>773</v>
      </c>
      <c r="H15" s="457">
        <f t="shared" si="18"/>
        <v>0</v>
      </c>
      <c r="I15" s="458"/>
      <c r="J15" s="463">
        <f t="shared" si="19"/>
        <v>0</v>
      </c>
      <c r="K15" s="464">
        <f t="shared" si="20"/>
        <v>0</v>
      </c>
      <c r="L15" s="473"/>
      <c r="M15" s="458"/>
      <c r="N15" s="463">
        <f t="shared" si="21"/>
        <v>0</v>
      </c>
      <c r="O15" s="464">
        <f t="shared" si="22"/>
        <v>0</v>
      </c>
      <c r="P15" s="473"/>
      <c r="Q15" s="458"/>
      <c r="R15" s="463">
        <f t="shared" si="23"/>
        <v>0</v>
      </c>
      <c r="S15" s="464">
        <f t="shared" si="24"/>
        <v>0</v>
      </c>
      <c r="T15" s="473"/>
      <c r="U15" s="458"/>
      <c r="V15" s="463">
        <f t="shared" si="25"/>
        <v>0</v>
      </c>
      <c r="W15" s="464">
        <f t="shared" si="26"/>
        <v>0</v>
      </c>
      <c r="X15" s="459"/>
    </row>
    <row r="16" spans="2:24" ht="15.6" customHeight="1">
      <c r="B16" s="183" t="s">
        <v>423</v>
      </c>
      <c r="C16" s="184" t="s">
        <v>604</v>
      </c>
      <c r="D16" s="186" t="s">
        <v>607</v>
      </c>
      <c r="E16" s="185" t="s">
        <v>26</v>
      </c>
      <c r="F16" s="98"/>
      <c r="G16" s="263">
        <v>540</v>
      </c>
      <c r="H16" s="457">
        <f t="shared" ref="H16:H24" si="27">F16*G16</f>
        <v>0</v>
      </c>
      <c r="I16" s="458"/>
      <c r="J16" s="463">
        <f t="shared" ref="J16:J18" si="28">I16+F16</f>
        <v>0</v>
      </c>
      <c r="K16" s="464">
        <f t="shared" ref="K16:K18" si="29">J16*G16</f>
        <v>0</v>
      </c>
      <c r="L16" s="473"/>
      <c r="M16" s="458"/>
      <c r="N16" s="463">
        <f t="shared" ref="N16:N18" si="30">M16+J16</f>
        <v>0</v>
      </c>
      <c r="O16" s="464">
        <f t="shared" ref="O16:O18" si="31">N16*G16</f>
        <v>0</v>
      </c>
      <c r="P16" s="473"/>
      <c r="Q16" s="458"/>
      <c r="R16" s="463">
        <f t="shared" ref="R16:R18" si="32">Q16+N16</f>
        <v>0</v>
      </c>
      <c r="S16" s="464">
        <f t="shared" ref="S16:S18" si="33">R16*G16</f>
        <v>0</v>
      </c>
      <c r="T16" s="473"/>
      <c r="U16" s="458"/>
      <c r="V16" s="463">
        <f t="shared" ref="V16:V18" si="34">U16+R16</f>
        <v>0</v>
      </c>
      <c r="W16" s="464">
        <f t="shared" ref="W16:W18" si="35">V16*G16</f>
        <v>0</v>
      </c>
      <c r="X16" s="459"/>
    </row>
    <row r="17" spans="2:24" ht="15.6" customHeight="1">
      <c r="B17" s="183" t="s">
        <v>423</v>
      </c>
      <c r="C17" s="184" t="s">
        <v>605</v>
      </c>
      <c r="D17" s="186" t="s">
        <v>608</v>
      </c>
      <c r="E17" s="185" t="s">
        <v>26</v>
      </c>
      <c r="F17" s="98"/>
      <c r="G17" s="263">
        <v>753</v>
      </c>
      <c r="H17" s="457">
        <f t="shared" si="27"/>
        <v>0</v>
      </c>
      <c r="I17" s="458"/>
      <c r="J17" s="463">
        <f t="shared" si="28"/>
        <v>0</v>
      </c>
      <c r="K17" s="464">
        <f t="shared" si="29"/>
        <v>0</v>
      </c>
      <c r="L17" s="473"/>
      <c r="M17" s="458"/>
      <c r="N17" s="463">
        <f t="shared" si="30"/>
        <v>0</v>
      </c>
      <c r="O17" s="464">
        <f t="shared" si="31"/>
        <v>0</v>
      </c>
      <c r="P17" s="473"/>
      <c r="Q17" s="458"/>
      <c r="R17" s="463">
        <f t="shared" si="32"/>
        <v>0</v>
      </c>
      <c r="S17" s="464">
        <f t="shared" si="33"/>
        <v>0</v>
      </c>
      <c r="T17" s="473"/>
      <c r="U17" s="458"/>
      <c r="V17" s="463">
        <f t="shared" si="34"/>
        <v>0</v>
      </c>
      <c r="W17" s="464">
        <f t="shared" si="35"/>
        <v>0</v>
      </c>
      <c r="X17" s="459"/>
    </row>
    <row r="18" spans="2:24" ht="15.6" customHeight="1">
      <c r="B18" s="183" t="s">
        <v>423</v>
      </c>
      <c r="C18" s="184" t="s">
        <v>606</v>
      </c>
      <c r="D18" s="186" t="s">
        <v>609</v>
      </c>
      <c r="E18" s="185" t="s">
        <v>26</v>
      </c>
      <c r="F18" s="97"/>
      <c r="G18" s="263">
        <v>1108</v>
      </c>
      <c r="H18" s="457">
        <f t="shared" si="27"/>
        <v>0</v>
      </c>
      <c r="I18" s="458"/>
      <c r="J18" s="463">
        <f t="shared" si="28"/>
        <v>0</v>
      </c>
      <c r="K18" s="464">
        <f t="shared" si="29"/>
        <v>0</v>
      </c>
      <c r="L18" s="473"/>
      <c r="M18" s="458"/>
      <c r="N18" s="463">
        <f t="shared" si="30"/>
        <v>0</v>
      </c>
      <c r="O18" s="464">
        <f t="shared" si="31"/>
        <v>0</v>
      </c>
      <c r="P18" s="473"/>
      <c r="Q18" s="458"/>
      <c r="R18" s="463">
        <f t="shared" si="32"/>
        <v>0</v>
      </c>
      <c r="S18" s="464">
        <f t="shared" si="33"/>
        <v>0</v>
      </c>
      <c r="T18" s="473"/>
      <c r="U18" s="458"/>
      <c r="V18" s="463">
        <f t="shared" si="34"/>
        <v>0</v>
      </c>
      <c r="W18" s="464">
        <f t="shared" si="35"/>
        <v>0</v>
      </c>
      <c r="X18" s="459"/>
    </row>
    <row r="19" spans="2:24" ht="15.6" customHeight="1">
      <c r="B19" s="183" t="s">
        <v>423</v>
      </c>
      <c r="C19" s="235" t="s">
        <v>926</v>
      </c>
      <c r="D19" s="537" t="s">
        <v>932</v>
      </c>
      <c r="E19" s="185" t="s">
        <v>23</v>
      </c>
      <c r="F19" s="187">
        <f>'ROUTE INFO'!I33</f>
        <v>0</v>
      </c>
      <c r="G19" s="538">
        <v>2.65</v>
      </c>
      <c r="H19" s="535">
        <f t="shared" si="27"/>
        <v>0</v>
      </c>
      <c r="I19" s="536"/>
      <c r="J19" s="463">
        <f t="shared" ref="J19:J24" si="36">I19+F19</f>
        <v>0</v>
      </c>
      <c r="K19" s="464">
        <f t="shared" ref="K19:K24" si="37">J19*G19</f>
        <v>0</v>
      </c>
      <c r="L19" s="473"/>
      <c r="M19" s="458"/>
      <c r="N19" s="463">
        <f t="shared" ref="N19:N24" si="38">M19+J19</f>
        <v>0</v>
      </c>
      <c r="O19" s="464">
        <f t="shared" ref="O19:O24" si="39">N19*G19</f>
        <v>0</v>
      </c>
      <c r="P19" s="473"/>
      <c r="Q19" s="458"/>
      <c r="R19" s="463">
        <f t="shared" ref="R19:R24" si="40">Q19+N19</f>
        <v>0</v>
      </c>
      <c r="S19" s="464">
        <f t="shared" ref="S19:S24" si="41">R19*G19</f>
        <v>0</v>
      </c>
      <c r="T19" s="473"/>
      <c r="U19" s="458"/>
      <c r="V19" s="463">
        <f t="shared" ref="V19:V24" si="42">U19+R19</f>
        <v>0</v>
      </c>
      <c r="W19" s="464">
        <f t="shared" ref="W19:W24" si="43">V19*G19</f>
        <v>0</v>
      </c>
      <c r="X19" s="459"/>
    </row>
    <row r="20" spans="2:24" ht="15.6" customHeight="1">
      <c r="B20" s="183" t="s">
        <v>423</v>
      </c>
      <c r="C20" s="534" t="s">
        <v>927</v>
      </c>
      <c r="D20" s="537" t="s">
        <v>933</v>
      </c>
      <c r="E20" s="185" t="s">
        <v>23</v>
      </c>
      <c r="F20" s="187">
        <f>'ROUTE INFO'!I34</f>
        <v>70</v>
      </c>
      <c r="G20" s="538">
        <v>2.85</v>
      </c>
      <c r="H20" s="535">
        <f t="shared" si="27"/>
        <v>199.5</v>
      </c>
      <c r="I20" s="536"/>
      <c r="J20" s="463">
        <f t="shared" si="36"/>
        <v>70</v>
      </c>
      <c r="K20" s="464">
        <f t="shared" si="37"/>
        <v>199.5</v>
      </c>
      <c r="L20" s="473"/>
      <c r="M20" s="458"/>
      <c r="N20" s="463">
        <f t="shared" si="38"/>
        <v>70</v>
      </c>
      <c r="O20" s="464">
        <f t="shared" si="39"/>
        <v>199.5</v>
      </c>
      <c r="P20" s="473"/>
      <c r="Q20" s="458"/>
      <c r="R20" s="463">
        <f t="shared" si="40"/>
        <v>70</v>
      </c>
      <c r="S20" s="464">
        <f t="shared" si="41"/>
        <v>199.5</v>
      </c>
      <c r="T20" s="473"/>
      <c r="U20" s="458"/>
      <c r="V20" s="463">
        <f t="shared" si="42"/>
        <v>70</v>
      </c>
      <c r="W20" s="464">
        <f t="shared" si="43"/>
        <v>199.5</v>
      </c>
      <c r="X20" s="459"/>
    </row>
    <row r="21" spans="2:24" ht="15.6" customHeight="1">
      <c r="B21" s="183" t="s">
        <v>423</v>
      </c>
      <c r="C21" s="534" t="s">
        <v>928</v>
      </c>
      <c r="D21" s="537" t="s">
        <v>934</v>
      </c>
      <c r="E21" s="185" t="s">
        <v>23</v>
      </c>
      <c r="F21" s="187">
        <f>'ROUTE INFO'!I35</f>
        <v>0</v>
      </c>
      <c r="G21" s="538">
        <v>3.5</v>
      </c>
      <c r="H21" s="535">
        <f t="shared" si="27"/>
        <v>0</v>
      </c>
      <c r="I21" s="536"/>
      <c r="J21" s="463">
        <f t="shared" si="36"/>
        <v>0</v>
      </c>
      <c r="K21" s="464">
        <f t="shared" si="37"/>
        <v>0</v>
      </c>
      <c r="L21" s="473"/>
      <c r="M21" s="458"/>
      <c r="N21" s="463">
        <f t="shared" si="38"/>
        <v>0</v>
      </c>
      <c r="O21" s="464">
        <f t="shared" si="39"/>
        <v>0</v>
      </c>
      <c r="P21" s="473"/>
      <c r="Q21" s="458"/>
      <c r="R21" s="463">
        <f t="shared" si="40"/>
        <v>0</v>
      </c>
      <c r="S21" s="464">
        <f t="shared" si="41"/>
        <v>0</v>
      </c>
      <c r="T21" s="473"/>
      <c r="U21" s="458"/>
      <c r="V21" s="463">
        <f t="shared" si="42"/>
        <v>0</v>
      </c>
      <c r="W21" s="464">
        <f t="shared" si="43"/>
        <v>0</v>
      </c>
      <c r="X21" s="459"/>
    </row>
    <row r="22" spans="2:24" ht="15.6" customHeight="1">
      <c r="B22" s="183" t="s">
        <v>423</v>
      </c>
      <c r="C22" s="534" t="s">
        <v>929</v>
      </c>
      <c r="D22" s="537" t="s">
        <v>935</v>
      </c>
      <c r="E22" s="185" t="s">
        <v>23</v>
      </c>
      <c r="F22" s="187">
        <f>'ROUTE INFO'!I36</f>
        <v>0</v>
      </c>
      <c r="G22" s="538">
        <v>4.18</v>
      </c>
      <c r="H22" s="535">
        <f t="shared" si="27"/>
        <v>0</v>
      </c>
      <c r="I22" s="536"/>
      <c r="J22" s="463">
        <f t="shared" si="36"/>
        <v>0</v>
      </c>
      <c r="K22" s="464">
        <f t="shared" si="37"/>
        <v>0</v>
      </c>
      <c r="L22" s="473"/>
      <c r="M22" s="458"/>
      <c r="N22" s="463">
        <f t="shared" si="38"/>
        <v>0</v>
      </c>
      <c r="O22" s="464">
        <f t="shared" si="39"/>
        <v>0</v>
      </c>
      <c r="P22" s="473"/>
      <c r="Q22" s="458"/>
      <c r="R22" s="463">
        <f t="shared" si="40"/>
        <v>0</v>
      </c>
      <c r="S22" s="464">
        <f t="shared" si="41"/>
        <v>0</v>
      </c>
      <c r="T22" s="473"/>
      <c r="U22" s="458"/>
      <c r="V22" s="463">
        <f t="shared" si="42"/>
        <v>0</v>
      </c>
      <c r="W22" s="464">
        <f t="shared" si="43"/>
        <v>0</v>
      </c>
      <c r="X22" s="459"/>
    </row>
    <row r="23" spans="2:24" ht="15.6" customHeight="1">
      <c r="B23" s="183" t="s">
        <v>423</v>
      </c>
      <c r="C23" s="534" t="s">
        <v>930</v>
      </c>
      <c r="D23" s="537" t="s">
        <v>936</v>
      </c>
      <c r="E23" s="185" t="s">
        <v>23</v>
      </c>
      <c r="F23" s="187">
        <f>'ROUTE INFO'!I37</f>
        <v>0</v>
      </c>
      <c r="G23" s="538">
        <v>5.45</v>
      </c>
      <c r="H23" s="535">
        <f t="shared" si="27"/>
        <v>0</v>
      </c>
      <c r="I23" s="536"/>
      <c r="J23" s="463">
        <f t="shared" si="36"/>
        <v>0</v>
      </c>
      <c r="K23" s="464">
        <f t="shared" si="37"/>
        <v>0</v>
      </c>
      <c r="L23" s="473"/>
      <c r="M23" s="458"/>
      <c r="N23" s="463">
        <f t="shared" si="38"/>
        <v>0</v>
      </c>
      <c r="O23" s="464">
        <f t="shared" si="39"/>
        <v>0</v>
      </c>
      <c r="P23" s="473"/>
      <c r="Q23" s="458"/>
      <c r="R23" s="463">
        <f t="shared" si="40"/>
        <v>0</v>
      </c>
      <c r="S23" s="464">
        <f t="shared" si="41"/>
        <v>0</v>
      </c>
      <c r="T23" s="473"/>
      <c r="U23" s="458"/>
      <c r="V23" s="463">
        <f t="shared" si="42"/>
        <v>0</v>
      </c>
      <c r="W23" s="464">
        <f t="shared" si="43"/>
        <v>0</v>
      </c>
      <c r="X23" s="459"/>
    </row>
    <row r="24" spans="2:24" ht="15.6" customHeight="1">
      <c r="B24" s="183" t="s">
        <v>423</v>
      </c>
      <c r="C24" s="534" t="s">
        <v>931</v>
      </c>
      <c r="D24" s="537" t="s">
        <v>937</v>
      </c>
      <c r="E24" s="185" t="s">
        <v>23</v>
      </c>
      <c r="F24" s="187">
        <f>'ROUTE INFO'!I38</f>
        <v>0</v>
      </c>
      <c r="G24" s="538">
        <v>11.41</v>
      </c>
      <c r="H24" s="535">
        <f t="shared" si="27"/>
        <v>0</v>
      </c>
      <c r="I24" s="536"/>
      <c r="J24" s="463">
        <f t="shared" si="36"/>
        <v>0</v>
      </c>
      <c r="K24" s="464">
        <f t="shared" si="37"/>
        <v>0</v>
      </c>
      <c r="L24" s="473"/>
      <c r="M24" s="458"/>
      <c r="N24" s="463">
        <f t="shared" si="38"/>
        <v>0</v>
      </c>
      <c r="O24" s="464">
        <f t="shared" si="39"/>
        <v>0</v>
      </c>
      <c r="P24" s="473"/>
      <c r="Q24" s="458"/>
      <c r="R24" s="463">
        <f t="shared" si="40"/>
        <v>0</v>
      </c>
      <c r="S24" s="464">
        <f t="shared" si="41"/>
        <v>0</v>
      </c>
      <c r="T24" s="473"/>
      <c r="U24" s="458"/>
      <c r="V24" s="463">
        <f t="shared" si="42"/>
        <v>0</v>
      </c>
      <c r="W24" s="464">
        <f t="shared" si="43"/>
        <v>0</v>
      </c>
      <c r="X24" s="459"/>
    </row>
    <row r="25" spans="2:24" ht="15.6" customHeight="1">
      <c r="B25" s="183" t="s">
        <v>423</v>
      </c>
      <c r="C25" s="184" t="s">
        <v>548</v>
      </c>
      <c r="D25" s="186" t="s">
        <v>380</v>
      </c>
      <c r="E25" s="185" t="s">
        <v>23</v>
      </c>
      <c r="F25" s="187">
        <f>'ROUTE INFO'!I15</f>
        <v>0</v>
      </c>
      <c r="G25" s="263">
        <v>29</v>
      </c>
      <c r="H25" s="457">
        <f t="shared" si="0"/>
        <v>0</v>
      </c>
      <c r="I25" s="458"/>
      <c r="J25" s="463">
        <f t="shared" si="1"/>
        <v>0</v>
      </c>
      <c r="K25" s="464">
        <f t="shared" si="2"/>
        <v>0</v>
      </c>
      <c r="L25" s="473"/>
      <c r="M25" s="458"/>
      <c r="N25" s="463">
        <f t="shared" si="3"/>
        <v>0</v>
      </c>
      <c r="O25" s="464">
        <f t="shared" si="4"/>
        <v>0</v>
      </c>
      <c r="P25" s="473"/>
      <c r="Q25" s="458"/>
      <c r="R25" s="463">
        <f t="shared" si="5"/>
        <v>0</v>
      </c>
      <c r="S25" s="464">
        <f t="shared" si="6"/>
        <v>0</v>
      </c>
      <c r="T25" s="473"/>
      <c r="U25" s="458"/>
      <c r="V25" s="463">
        <f t="shared" si="7"/>
        <v>0</v>
      </c>
      <c r="W25" s="464">
        <f t="shared" si="8"/>
        <v>0</v>
      </c>
      <c r="X25" s="459"/>
    </row>
    <row r="26" spans="2:24" ht="15.6" customHeight="1">
      <c r="B26" s="183" t="s">
        <v>423</v>
      </c>
      <c r="C26" s="184" t="s">
        <v>40</v>
      </c>
      <c r="D26" s="186" t="s">
        <v>277</v>
      </c>
      <c r="E26" s="185" t="s">
        <v>23</v>
      </c>
      <c r="F26" s="187">
        <f>'ROUTE INFO'!I14</f>
        <v>0</v>
      </c>
      <c r="G26" s="263">
        <v>18</v>
      </c>
      <c r="H26" s="457">
        <f t="shared" si="0"/>
        <v>0</v>
      </c>
      <c r="I26" s="458"/>
      <c r="J26" s="463">
        <f t="shared" si="1"/>
        <v>0</v>
      </c>
      <c r="K26" s="464">
        <f t="shared" si="2"/>
        <v>0</v>
      </c>
      <c r="L26" s="473"/>
      <c r="M26" s="458"/>
      <c r="N26" s="463">
        <f t="shared" si="3"/>
        <v>0</v>
      </c>
      <c r="O26" s="464">
        <f t="shared" si="4"/>
        <v>0</v>
      </c>
      <c r="P26" s="473"/>
      <c r="Q26" s="458"/>
      <c r="R26" s="463">
        <f t="shared" si="5"/>
        <v>0</v>
      </c>
      <c r="S26" s="464">
        <f t="shared" si="6"/>
        <v>0</v>
      </c>
      <c r="T26" s="473"/>
      <c r="U26" s="458"/>
      <c r="V26" s="463">
        <f t="shared" si="7"/>
        <v>0</v>
      </c>
      <c r="W26" s="464">
        <f t="shared" si="8"/>
        <v>0</v>
      </c>
      <c r="X26" s="459"/>
    </row>
    <row r="27" spans="2:24" ht="15.6" customHeight="1">
      <c r="B27" s="183" t="s">
        <v>423</v>
      </c>
      <c r="C27" s="184" t="s">
        <v>42</v>
      </c>
      <c r="D27" s="186" t="s">
        <v>124</v>
      </c>
      <c r="E27" s="185" t="s">
        <v>23</v>
      </c>
      <c r="F27" s="187">
        <f>'ROUTE INFO'!I13</f>
        <v>0</v>
      </c>
      <c r="G27" s="263">
        <v>11.2</v>
      </c>
      <c r="H27" s="457">
        <f t="shared" si="0"/>
        <v>0</v>
      </c>
      <c r="I27" s="458"/>
      <c r="J27" s="463">
        <f t="shared" si="1"/>
        <v>0</v>
      </c>
      <c r="K27" s="464">
        <f t="shared" si="2"/>
        <v>0</v>
      </c>
      <c r="L27" s="473"/>
      <c r="M27" s="458"/>
      <c r="N27" s="463">
        <f t="shared" si="3"/>
        <v>0</v>
      </c>
      <c r="O27" s="464">
        <f t="shared" si="4"/>
        <v>0</v>
      </c>
      <c r="P27" s="473"/>
      <c r="Q27" s="458"/>
      <c r="R27" s="463">
        <f t="shared" si="5"/>
        <v>0</v>
      </c>
      <c r="S27" s="464">
        <f t="shared" si="6"/>
        <v>0</v>
      </c>
      <c r="T27" s="473"/>
      <c r="U27" s="458"/>
      <c r="V27" s="463">
        <f t="shared" si="7"/>
        <v>0</v>
      </c>
      <c r="W27" s="464">
        <f t="shared" si="8"/>
        <v>0</v>
      </c>
      <c r="X27" s="459"/>
    </row>
    <row r="28" spans="2:24" ht="15.6" customHeight="1">
      <c r="B28" s="183" t="s">
        <v>423</v>
      </c>
      <c r="C28" s="610" t="s">
        <v>1199</v>
      </c>
      <c r="D28" s="497" t="s">
        <v>1189</v>
      </c>
      <c r="E28" s="185" t="s">
        <v>23</v>
      </c>
      <c r="F28" s="187">
        <f>'ROUTE INFO'!I18</f>
        <v>0</v>
      </c>
      <c r="G28" s="839">
        <v>7.44</v>
      </c>
      <c r="H28" s="457">
        <f t="shared" si="0"/>
        <v>0</v>
      </c>
      <c r="I28" s="458"/>
      <c r="J28" s="463">
        <f t="shared" si="1"/>
        <v>0</v>
      </c>
      <c r="K28" s="464">
        <f t="shared" si="2"/>
        <v>0</v>
      </c>
      <c r="L28" s="473"/>
      <c r="M28" s="458"/>
      <c r="N28" s="463">
        <f t="shared" si="3"/>
        <v>0</v>
      </c>
      <c r="O28" s="464">
        <f t="shared" si="4"/>
        <v>0</v>
      </c>
      <c r="P28" s="473"/>
      <c r="Q28" s="458"/>
      <c r="R28" s="463">
        <f t="shared" si="5"/>
        <v>0</v>
      </c>
      <c r="S28" s="464">
        <f t="shared" si="6"/>
        <v>0</v>
      </c>
      <c r="T28" s="473"/>
      <c r="U28" s="458"/>
      <c r="V28" s="463">
        <f t="shared" si="7"/>
        <v>0</v>
      </c>
      <c r="W28" s="464">
        <f t="shared" si="8"/>
        <v>0</v>
      </c>
      <c r="X28" s="459"/>
    </row>
    <row r="29" spans="2:24" ht="15.6" customHeight="1">
      <c r="B29" s="183" t="s">
        <v>423</v>
      </c>
      <c r="C29" s="610" t="s">
        <v>1200</v>
      </c>
      <c r="D29" s="497" t="s">
        <v>1201</v>
      </c>
      <c r="E29" s="185" t="s">
        <v>23</v>
      </c>
      <c r="F29" s="187">
        <f>'ROUTE INFO'!I19</f>
        <v>0</v>
      </c>
      <c r="G29" s="839">
        <v>8.2100000000000009</v>
      </c>
      <c r="H29" s="457">
        <f t="shared" si="0"/>
        <v>0</v>
      </c>
      <c r="I29" s="458"/>
      <c r="J29" s="463">
        <f t="shared" si="1"/>
        <v>0</v>
      </c>
      <c r="K29" s="464">
        <f t="shared" si="2"/>
        <v>0</v>
      </c>
      <c r="L29" s="473"/>
      <c r="M29" s="458"/>
      <c r="N29" s="463">
        <f t="shared" si="3"/>
        <v>0</v>
      </c>
      <c r="O29" s="464">
        <f t="shared" si="4"/>
        <v>0</v>
      </c>
      <c r="P29" s="473"/>
      <c r="Q29" s="458"/>
      <c r="R29" s="463">
        <f t="shared" si="5"/>
        <v>0</v>
      </c>
      <c r="S29" s="464">
        <f t="shared" si="6"/>
        <v>0</v>
      </c>
      <c r="T29" s="473"/>
      <c r="U29" s="458"/>
      <c r="V29" s="463">
        <f t="shared" si="7"/>
        <v>0</v>
      </c>
      <c r="W29" s="464">
        <f t="shared" si="8"/>
        <v>0</v>
      </c>
      <c r="X29" s="459"/>
    </row>
    <row r="30" spans="2:24" ht="15.6" customHeight="1">
      <c r="B30" s="183" t="s">
        <v>423</v>
      </c>
      <c r="C30" s="610" t="s">
        <v>1150</v>
      </c>
      <c r="D30" s="497" t="s">
        <v>1148</v>
      </c>
      <c r="E30" s="185" t="s">
        <v>23</v>
      </c>
      <c r="F30" s="187">
        <f>'ROUTE INFO'!I20</f>
        <v>0</v>
      </c>
      <c r="G30" s="839">
        <v>9.4600000000000009</v>
      </c>
      <c r="H30" s="457">
        <f t="shared" ref="H30:H35" si="44">F30*G30</f>
        <v>0</v>
      </c>
      <c r="I30" s="458"/>
      <c r="J30" s="463">
        <f t="shared" ref="J30:J35" si="45">I30+F30</f>
        <v>0</v>
      </c>
      <c r="K30" s="464">
        <f t="shared" ref="K30:K35" si="46">J30*G30</f>
        <v>0</v>
      </c>
      <c r="L30" s="473"/>
      <c r="M30" s="458"/>
      <c r="N30" s="463">
        <f t="shared" ref="N30:N35" si="47">M30+J30</f>
        <v>0</v>
      </c>
      <c r="O30" s="464">
        <f t="shared" ref="O30:O35" si="48">N30*G30</f>
        <v>0</v>
      </c>
      <c r="P30" s="473"/>
      <c r="Q30" s="458"/>
      <c r="R30" s="463">
        <f t="shared" ref="R30:R35" si="49">Q30+N30</f>
        <v>0</v>
      </c>
      <c r="S30" s="464">
        <f t="shared" ref="S30:S35" si="50">R30*G30</f>
        <v>0</v>
      </c>
      <c r="T30" s="473"/>
      <c r="U30" s="458"/>
      <c r="V30" s="463">
        <f t="shared" ref="V30:V35" si="51">U30+R30</f>
        <v>0</v>
      </c>
      <c r="W30" s="464">
        <f t="shared" ref="W30:W35" si="52">V30*G30</f>
        <v>0</v>
      </c>
      <c r="X30" s="459"/>
    </row>
    <row r="31" spans="2:24" ht="15.6" customHeight="1">
      <c r="B31" s="183" t="s">
        <v>423</v>
      </c>
      <c r="C31" s="610" t="s">
        <v>1151</v>
      </c>
      <c r="D31" s="497" t="s">
        <v>903</v>
      </c>
      <c r="E31" s="185" t="s">
        <v>23</v>
      </c>
      <c r="F31" s="187">
        <f>'ROUTE INFO'!I21</f>
        <v>0</v>
      </c>
      <c r="G31" s="496">
        <v>12.48</v>
      </c>
      <c r="H31" s="457">
        <f t="shared" si="44"/>
        <v>0</v>
      </c>
      <c r="I31" s="458"/>
      <c r="J31" s="463">
        <f t="shared" si="45"/>
        <v>0</v>
      </c>
      <c r="K31" s="464">
        <f t="shared" si="46"/>
        <v>0</v>
      </c>
      <c r="L31" s="473"/>
      <c r="M31" s="458"/>
      <c r="N31" s="463">
        <f t="shared" si="47"/>
        <v>0</v>
      </c>
      <c r="O31" s="464">
        <f t="shared" si="48"/>
        <v>0</v>
      </c>
      <c r="P31" s="473"/>
      <c r="Q31" s="458"/>
      <c r="R31" s="463">
        <f t="shared" si="49"/>
        <v>0</v>
      </c>
      <c r="S31" s="464">
        <f t="shared" si="50"/>
        <v>0</v>
      </c>
      <c r="T31" s="473"/>
      <c r="U31" s="458"/>
      <c r="V31" s="463">
        <f t="shared" si="51"/>
        <v>0</v>
      </c>
      <c r="W31" s="464">
        <f t="shared" si="52"/>
        <v>0</v>
      </c>
      <c r="X31" s="459"/>
    </row>
    <row r="32" spans="2:24" ht="15.6" customHeight="1">
      <c r="B32" s="183" t="s">
        <v>423</v>
      </c>
      <c r="C32" s="610" t="s">
        <v>1152</v>
      </c>
      <c r="D32" s="497" t="s">
        <v>904</v>
      </c>
      <c r="E32" s="185" t="s">
        <v>23</v>
      </c>
      <c r="F32" s="187">
        <f>'ROUTE INFO'!I22</f>
        <v>0</v>
      </c>
      <c r="G32" s="496">
        <v>28.45</v>
      </c>
      <c r="H32" s="457">
        <f t="shared" si="44"/>
        <v>0</v>
      </c>
      <c r="I32" s="458"/>
      <c r="J32" s="463">
        <f t="shared" si="45"/>
        <v>0</v>
      </c>
      <c r="K32" s="464">
        <f t="shared" si="46"/>
        <v>0</v>
      </c>
      <c r="L32" s="473"/>
      <c r="M32" s="458"/>
      <c r="N32" s="463">
        <f t="shared" si="47"/>
        <v>0</v>
      </c>
      <c r="O32" s="464">
        <f t="shared" si="48"/>
        <v>0</v>
      </c>
      <c r="P32" s="473"/>
      <c r="Q32" s="458"/>
      <c r="R32" s="463">
        <f t="shared" si="49"/>
        <v>0</v>
      </c>
      <c r="S32" s="464">
        <f t="shared" si="50"/>
        <v>0</v>
      </c>
      <c r="T32" s="473"/>
      <c r="U32" s="458"/>
      <c r="V32" s="463">
        <f t="shared" si="51"/>
        <v>0</v>
      </c>
      <c r="W32" s="464">
        <f t="shared" si="52"/>
        <v>0</v>
      </c>
      <c r="X32" s="459"/>
    </row>
    <row r="33" spans="2:24" ht="15.6" customHeight="1">
      <c r="B33" s="183" t="s">
        <v>423</v>
      </c>
      <c r="C33" s="610" t="s">
        <v>1153</v>
      </c>
      <c r="D33" s="497" t="s">
        <v>905</v>
      </c>
      <c r="E33" s="185" t="s">
        <v>23</v>
      </c>
      <c r="F33" s="187">
        <f>'ROUTE INFO'!I23</f>
        <v>0</v>
      </c>
      <c r="G33" s="496">
        <v>34</v>
      </c>
      <c r="H33" s="457">
        <f t="shared" si="44"/>
        <v>0</v>
      </c>
      <c r="I33" s="458"/>
      <c r="J33" s="463">
        <f t="shared" si="45"/>
        <v>0</v>
      </c>
      <c r="K33" s="464">
        <f t="shared" si="46"/>
        <v>0</v>
      </c>
      <c r="L33" s="473"/>
      <c r="M33" s="458"/>
      <c r="N33" s="463">
        <f t="shared" si="47"/>
        <v>0</v>
      </c>
      <c r="O33" s="464">
        <f t="shared" si="48"/>
        <v>0</v>
      </c>
      <c r="P33" s="473"/>
      <c r="Q33" s="458"/>
      <c r="R33" s="463">
        <f t="shared" si="49"/>
        <v>0</v>
      </c>
      <c r="S33" s="464">
        <f t="shared" si="50"/>
        <v>0</v>
      </c>
      <c r="T33" s="473"/>
      <c r="U33" s="458"/>
      <c r="V33" s="463">
        <f t="shared" si="51"/>
        <v>0</v>
      </c>
      <c r="W33" s="464">
        <f t="shared" si="52"/>
        <v>0</v>
      </c>
      <c r="X33" s="459"/>
    </row>
    <row r="34" spans="2:24" ht="15.6" customHeight="1">
      <c r="B34" s="183" t="s">
        <v>423</v>
      </c>
      <c r="C34" s="610" t="s">
        <v>1154</v>
      </c>
      <c r="D34" s="497" t="s">
        <v>1149</v>
      </c>
      <c r="E34" s="185" t="s">
        <v>23</v>
      </c>
      <c r="F34" s="187">
        <f>'ROUTE INFO'!I24</f>
        <v>0</v>
      </c>
      <c r="G34" s="839">
        <v>38.340000000000003</v>
      </c>
      <c r="H34" s="457">
        <f t="shared" si="44"/>
        <v>0</v>
      </c>
      <c r="I34" s="458"/>
      <c r="J34" s="463">
        <f t="shared" si="45"/>
        <v>0</v>
      </c>
      <c r="K34" s="464">
        <f t="shared" si="46"/>
        <v>0</v>
      </c>
      <c r="L34" s="473"/>
      <c r="M34" s="458"/>
      <c r="N34" s="463">
        <f t="shared" si="47"/>
        <v>0</v>
      </c>
      <c r="O34" s="464">
        <f t="shared" si="48"/>
        <v>0</v>
      </c>
      <c r="P34" s="473"/>
      <c r="Q34" s="458"/>
      <c r="R34" s="463">
        <f t="shared" si="49"/>
        <v>0</v>
      </c>
      <c r="S34" s="464">
        <f t="shared" si="50"/>
        <v>0</v>
      </c>
      <c r="T34" s="473"/>
      <c r="U34" s="458"/>
      <c r="V34" s="463">
        <f t="shared" si="51"/>
        <v>0</v>
      </c>
      <c r="W34" s="464">
        <f t="shared" si="52"/>
        <v>0</v>
      </c>
      <c r="X34" s="459"/>
    </row>
    <row r="35" spans="2:24" ht="15.6" customHeight="1">
      <c r="B35" s="183" t="s">
        <v>423</v>
      </c>
      <c r="C35" s="184" t="s">
        <v>536</v>
      </c>
      <c r="D35" s="186" t="s">
        <v>529</v>
      </c>
      <c r="E35" s="185" t="s">
        <v>23</v>
      </c>
      <c r="F35" s="187">
        <f>'ROUTE INFO'!I12</f>
        <v>0</v>
      </c>
      <c r="G35" s="311">
        <v>7.33</v>
      </c>
      <c r="H35" s="457">
        <f t="shared" si="44"/>
        <v>0</v>
      </c>
      <c r="I35" s="458"/>
      <c r="J35" s="463">
        <f t="shared" si="45"/>
        <v>0</v>
      </c>
      <c r="K35" s="464">
        <f t="shared" si="46"/>
        <v>0</v>
      </c>
      <c r="L35" s="473"/>
      <c r="M35" s="458"/>
      <c r="N35" s="463">
        <f t="shared" si="47"/>
        <v>0</v>
      </c>
      <c r="O35" s="464">
        <f t="shared" si="48"/>
        <v>0</v>
      </c>
      <c r="P35" s="473"/>
      <c r="Q35" s="458"/>
      <c r="R35" s="463">
        <f t="shared" si="49"/>
        <v>0</v>
      </c>
      <c r="S35" s="464">
        <f t="shared" si="50"/>
        <v>0</v>
      </c>
      <c r="T35" s="473"/>
      <c r="U35" s="458"/>
      <c r="V35" s="463">
        <f t="shared" si="51"/>
        <v>0</v>
      </c>
      <c r="W35" s="464">
        <f t="shared" si="52"/>
        <v>0</v>
      </c>
      <c r="X35" s="459"/>
    </row>
    <row r="36" spans="2:24" ht="15.6" customHeight="1">
      <c r="B36" s="183" t="s">
        <v>423</v>
      </c>
      <c r="C36" s="184" t="s">
        <v>547</v>
      </c>
      <c r="D36" s="186" t="s">
        <v>530</v>
      </c>
      <c r="E36" s="185" t="s">
        <v>23</v>
      </c>
      <c r="F36" s="187">
        <f>'ROUTE INFO'!I11</f>
        <v>0</v>
      </c>
      <c r="G36" s="311">
        <v>6.11</v>
      </c>
      <c r="H36" s="457">
        <f t="shared" si="0"/>
        <v>0</v>
      </c>
      <c r="I36" s="458"/>
      <c r="J36" s="463">
        <f t="shared" ref="J36" si="53">I36+F36</f>
        <v>0</v>
      </c>
      <c r="K36" s="464">
        <f t="shared" ref="K36" si="54">J36*G36</f>
        <v>0</v>
      </c>
      <c r="L36" s="473"/>
      <c r="M36" s="458"/>
      <c r="N36" s="463">
        <f t="shared" ref="N36" si="55">M36+J36</f>
        <v>0</v>
      </c>
      <c r="O36" s="464">
        <f t="shared" ref="O36" si="56">N36*G36</f>
        <v>0</v>
      </c>
      <c r="P36" s="473"/>
      <c r="Q36" s="458"/>
      <c r="R36" s="463">
        <f t="shared" ref="R36" si="57">Q36+N36</f>
        <v>0</v>
      </c>
      <c r="S36" s="464">
        <f t="shared" ref="S36" si="58">R36*G36</f>
        <v>0</v>
      </c>
      <c r="T36" s="473"/>
      <c r="U36" s="458"/>
      <c r="V36" s="463">
        <f t="shared" ref="V36" si="59">U36+R36</f>
        <v>0</v>
      </c>
      <c r="W36" s="464">
        <f t="shared" ref="W36" si="60">V36*G36</f>
        <v>0</v>
      </c>
      <c r="X36" s="459"/>
    </row>
    <row r="37" spans="2:24" ht="15.6" customHeight="1">
      <c r="B37" s="183" t="s">
        <v>423</v>
      </c>
      <c r="C37" s="184" t="s">
        <v>354</v>
      </c>
      <c r="D37" s="186" t="s">
        <v>355</v>
      </c>
      <c r="E37" s="185" t="s">
        <v>23</v>
      </c>
      <c r="F37" s="187">
        <f>'ROUTE INFO'!I16</f>
        <v>0</v>
      </c>
      <c r="G37" s="263">
        <v>31.82</v>
      </c>
      <c r="H37" s="457">
        <f t="shared" si="0"/>
        <v>0</v>
      </c>
      <c r="I37" s="458"/>
      <c r="J37" s="463">
        <f t="shared" si="1"/>
        <v>0</v>
      </c>
      <c r="K37" s="464">
        <f t="shared" si="2"/>
        <v>0</v>
      </c>
      <c r="L37" s="473"/>
      <c r="M37" s="458"/>
      <c r="N37" s="463">
        <f t="shared" si="3"/>
        <v>0</v>
      </c>
      <c r="O37" s="464">
        <f t="shared" si="4"/>
        <v>0</v>
      </c>
      <c r="P37" s="473"/>
      <c r="Q37" s="458"/>
      <c r="R37" s="463">
        <f t="shared" si="5"/>
        <v>0</v>
      </c>
      <c r="S37" s="464">
        <f t="shared" si="6"/>
        <v>0</v>
      </c>
      <c r="T37" s="473"/>
      <c r="U37" s="458"/>
      <c r="V37" s="463">
        <f t="shared" si="7"/>
        <v>0</v>
      </c>
      <c r="W37" s="464">
        <f t="shared" si="8"/>
        <v>0</v>
      </c>
      <c r="X37" s="459"/>
    </row>
    <row r="38" spans="2:24" ht="15.6" customHeight="1">
      <c r="B38" s="183" t="s">
        <v>423</v>
      </c>
      <c r="C38" s="184" t="s">
        <v>554</v>
      </c>
      <c r="D38" s="186" t="s">
        <v>557</v>
      </c>
      <c r="E38" s="185" t="s">
        <v>23</v>
      </c>
      <c r="F38" s="187">
        <f>'ROUTE INFO'!I17</f>
        <v>0</v>
      </c>
      <c r="G38" s="263">
        <v>90.22</v>
      </c>
      <c r="H38" s="457">
        <f t="shared" ref="H38" si="61">F38*G38</f>
        <v>0</v>
      </c>
      <c r="I38" s="458"/>
      <c r="J38" s="463">
        <f t="shared" ref="J38" si="62">I38+F38</f>
        <v>0</v>
      </c>
      <c r="K38" s="464">
        <f t="shared" ref="K38" si="63">J38*G38</f>
        <v>0</v>
      </c>
      <c r="L38" s="473"/>
      <c r="M38" s="458"/>
      <c r="N38" s="463">
        <f t="shared" ref="N38" si="64">M38+J38</f>
        <v>0</v>
      </c>
      <c r="O38" s="464">
        <f t="shared" ref="O38" si="65">N38*G38</f>
        <v>0</v>
      </c>
      <c r="P38" s="473"/>
      <c r="Q38" s="458"/>
      <c r="R38" s="463">
        <f t="shared" ref="R38" si="66">Q38+N38</f>
        <v>0</v>
      </c>
      <c r="S38" s="464">
        <f t="shared" ref="S38" si="67">R38*G38</f>
        <v>0</v>
      </c>
      <c r="T38" s="473"/>
      <c r="U38" s="458"/>
      <c r="V38" s="463">
        <f t="shared" ref="V38" si="68">U38+R38</f>
        <v>0</v>
      </c>
      <c r="W38" s="464">
        <f t="shared" ref="W38" si="69">V38*G38</f>
        <v>0</v>
      </c>
      <c r="X38" s="459"/>
    </row>
    <row r="39" spans="2:24" ht="15.6" customHeight="1">
      <c r="B39" s="183" t="s">
        <v>424</v>
      </c>
      <c r="C39" s="184" t="s">
        <v>264</v>
      </c>
      <c r="D39" s="186" t="s">
        <v>125</v>
      </c>
      <c r="E39" s="185" t="s">
        <v>23</v>
      </c>
      <c r="F39" s="187">
        <f>'ROUTE INFO'!I47</f>
        <v>57.75</v>
      </c>
      <c r="G39" s="263">
        <v>5.2</v>
      </c>
      <c r="H39" s="457">
        <f t="shared" si="0"/>
        <v>300.3</v>
      </c>
      <c r="I39" s="458"/>
      <c r="J39" s="463">
        <f t="shared" si="1"/>
        <v>57.75</v>
      </c>
      <c r="K39" s="464">
        <f t="shared" si="2"/>
        <v>300.3</v>
      </c>
      <c r="L39" s="473"/>
      <c r="M39" s="458"/>
      <c r="N39" s="463">
        <f t="shared" si="3"/>
        <v>57.75</v>
      </c>
      <c r="O39" s="464">
        <f t="shared" si="4"/>
        <v>300.3</v>
      </c>
      <c r="P39" s="473"/>
      <c r="Q39" s="458"/>
      <c r="R39" s="463">
        <f t="shared" si="5"/>
        <v>57.75</v>
      </c>
      <c r="S39" s="464">
        <f t="shared" si="6"/>
        <v>300.3</v>
      </c>
      <c r="T39" s="473"/>
      <c r="U39" s="458"/>
      <c r="V39" s="463">
        <f t="shared" si="7"/>
        <v>57.75</v>
      </c>
      <c r="W39" s="464">
        <f t="shared" si="8"/>
        <v>300.3</v>
      </c>
      <c r="X39" s="459"/>
    </row>
    <row r="40" spans="2:24" ht="15.6" customHeight="1">
      <c r="B40" s="183" t="s">
        <v>424</v>
      </c>
      <c r="C40" s="184" t="s">
        <v>614</v>
      </c>
      <c r="D40" s="186" t="s">
        <v>611</v>
      </c>
      <c r="E40" s="185" t="s">
        <v>23</v>
      </c>
      <c r="F40" s="187">
        <f>'ROUTE INFO'!I48</f>
        <v>0</v>
      </c>
      <c r="G40" s="263">
        <v>13.65</v>
      </c>
      <c r="H40" s="457">
        <f t="shared" ref="H40:H42" si="70">F40*G40</f>
        <v>0</v>
      </c>
      <c r="I40" s="458"/>
      <c r="J40" s="463">
        <f t="shared" ref="J40:J42" si="71">I40+F40</f>
        <v>0</v>
      </c>
      <c r="K40" s="464">
        <f t="shared" ref="K40:K42" si="72">J40*G40</f>
        <v>0</v>
      </c>
      <c r="L40" s="473"/>
      <c r="M40" s="458"/>
      <c r="N40" s="463">
        <f t="shared" ref="N40:N42" si="73">M40+J40</f>
        <v>0</v>
      </c>
      <c r="O40" s="464">
        <f t="shared" ref="O40:O42" si="74">N40*G40</f>
        <v>0</v>
      </c>
      <c r="P40" s="473"/>
      <c r="Q40" s="458"/>
      <c r="R40" s="463">
        <f t="shared" ref="R40:R42" si="75">Q40+N40</f>
        <v>0</v>
      </c>
      <c r="S40" s="464">
        <f t="shared" ref="S40:S42" si="76">R40*G40</f>
        <v>0</v>
      </c>
      <c r="T40" s="473"/>
      <c r="U40" s="458"/>
      <c r="V40" s="463">
        <f t="shared" ref="V40:V42" si="77">U40+R40</f>
        <v>0</v>
      </c>
      <c r="W40" s="464">
        <f t="shared" ref="W40:W42" si="78">V40*G40</f>
        <v>0</v>
      </c>
      <c r="X40" s="459"/>
    </row>
    <row r="41" spans="2:24" ht="15.6" customHeight="1">
      <c r="B41" s="183" t="s">
        <v>424</v>
      </c>
      <c r="C41" s="184" t="s">
        <v>615</v>
      </c>
      <c r="D41" s="185" t="s">
        <v>612</v>
      </c>
      <c r="E41" s="185" t="s">
        <v>23</v>
      </c>
      <c r="F41" s="187">
        <f>'ROUTE INFO'!I49</f>
        <v>0</v>
      </c>
      <c r="G41" s="263">
        <v>22.64</v>
      </c>
      <c r="H41" s="457">
        <f t="shared" si="70"/>
        <v>0</v>
      </c>
      <c r="I41" s="458"/>
      <c r="J41" s="463">
        <f t="shared" si="71"/>
        <v>0</v>
      </c>
      <c r="K41" s="464">
        <f t="shared" si="72"/>
        <v>0</v>
      </c>
      <c r="L41" s="473"/>
      <c r="M41" s="458"/>
      <c r="N41" s="463">
        <f t="shared" si="73"/>
        <v>0</v>
      </c>
      <c r="O41" s="464">
        <f t="shared" si="74"/>
        <v>0</v>
      </c>
      <c r="P41" s="473"/>
      <c r="Q41" s="458"/>
      <c r="R41" s="463">
        <f t="shared" si="75"/>
        <v>0</v>
      </c>
      <c r="S41" s="464">
        <f t="shared" si="76"/>
        <v>0</v>
      </c>
      <c r="T41" s="473"/>
      <c r="U41" s="458"/>
      <c r="V41" s="463">
        <f t="shared" si="77"/>
        <v>0</v>
      </c>
      <c r="W41" s="464">
        <f t="shared" si="78"/>
        <v>0</v>
      </c>
      <c r="X41" s="459"/>
    </row>
    <row r="42" spans="2:24" ht="15.6" customHeight="1">
      <c r="B42" s="183" t="s">
        <v>424</v>
      </c>
      <c r="C42" s="184" t="s">
        <v>616</v>
      </c>
      <c r="D42" s="185" t="s">
        <v>613</v>
      </c>
      <c r="E42" s="185" t="s">
        <v>23</v>
      </c>
      <c r="F42" s="187">
        <f>'ROUTE INFO'!I50</f>
        <v>0</v>
      </c>
      <c r="G42" s="263">
        <v>27.92</v>
      </c>
      <c r="H42" s="457">
        <f t="shared" si="70"/>
        <v>0</v>
      </c>
      <c r="I42" s="458"/>
      <c r="J42" s="463">
        <f t="shared" si="71"/>
        <v>0</v>
      </c>
      <c r="K42" s="464">
        <f t="shared" si="72"/>
        <v>0</v>
      </c>
      <c r="L42" s="473"/>
      <c r="M42" s="458"/>
      <c r="N42" s="463">
        <f t="shared" si="73"/>
        <v>0</v>
      </c>
      <c r="O42" s="464">
        <f t="shared" si="74"/>
        <v>0</v>
      </c>
      <c r="P42" s="473"/>
      <c r="Q42" s="458"/>
      <c r="R42" s="463">
        <f t="shared" si="75"/>
        <v>0</v>
      </c>
      <c r="S42" s="464">
        <f t="shared" si="76"/>
        <v>0</v>
      </c>
      <c r="T42" s="473"/>
      <c r="U42" s="458"/>
      <c r="V42" s="463">
        <f t="shared" si="77"/>
        <v>0</v>
      </c>
      <c r="W42" s="464">
        <f t="shared" si="78"/>
        <v>0</v>
      </c>
      <c r="X42" s="459"/>
    </row>
    <row r="43" spans="2:24" ht="15.6">
      <c r="B43" s="183" t="s">
        <v>424</v>
      </c>
      <c r="C43" s="184" t="s">
        <v>266</v>
      </c>
      <c r="D43" s="186" t="s">
        <v>126</v>
      </c>
      <c r="E43" s="185" t="s">
        <v>23</v>
      </c>
      <c r="F43" s="187">
        <f>'ROUTE INFO'!I51</f>
        <v>0</v>
      </c>
      <c r="G43" s="263">
        <v>8.93</v>
      </c>
      <c r="H43" s="457">
        <f t="shared" si="0"/>
        <v>0</v>
      </c>
      <c r="I43" s="458"/>
      <c r="J43" s="463">
        <f t="shared" si="1"/>
        <v>0</v>
      </c>
      <c r="K43" s="464">
        <f t="shared" si="2"/>
        <v>0</v>
      </c>
      <c r="L43" s="473"/>
      <c r="M43" s="458"/>
      <c r="N43" s="463">
        <f t="shared" si="3"/>
        <v>0</v>
      </c>
      <c r="O43" s="464">
        <f t="shared" si="4"/>
        <v>0</v>
      </c>
      <c r="P43" s="473"/>
      <c r="Q43" s="458"/>
      <c r="R43" s="463">
        <f t="shared" si="5"/>
        <v>0</v>
      </c>
      <c r="S43" s="464">
        <f t="shared" si="6"/>
        <v>0</v>
      </c>
      <c r="T43" s="473"/>
      <c r="U43" s="458"/>
      <c r="V43" s="463">
        <f t="shared" si="7"/>
        <v>0</v>
      </c>
      <c r="W43" s="464">
        <f t="shared" si="8"/>
        <v>0</v>
      </c>
      <c r="X43" s="459"/>
    </row>
    <row r="44" spans="2:24" ht="15.6">
      <c r="B44" s="183" t="s">
        <v>424</v>
      </c>
      <c r="C44" s="184" t="s">
        <v>296</v>
      </c>
      <c r="D44" s="185" t="s">
        <v>208</v>
      </c>
      <c r="E44" s="185" t="s">
        <v>23</v>
      </c>
      <c r="F44" s="187">
        <f>'ROUTE INFO'!I52</f>
        <v>0</v>
      </c>
      <c r="G44" s="262">
        <v>15.66</v>
      </c>
      <c r="H44" s="457">
        <f t="shared" si="0"/>
        <v>0</v>
      </c>
      <c r="I44" s="458"/>
      <c r="J44" s="463">
        <f t="shared" si="1"/>
        <v>0</v>
      </c>
      <c r="K44" s="464">
        <f t="shared" si="2"/>
        <v>0</v>
      </c>
      <c r="L44" s="473"/>
      <c r="M44" s="458"/>
      <c r="N44" s="463">
        <f t="shared" si="3"/>
        <v>0</v>
      </c>
      <c r="O44" s="464">
        <f t="shared" si="4"/>
        <v>0</v>
      </c>
      <c r="P44" s="473"/>
      <c r="Q44" s="458"/>
      <c r="R44" s="463">
        <f t="shared" si="5"/>
        <v>0</v>
      </c>
      <c r="S44" s="464">
        <f t="shared" si="6"/>
        <v>0</v>
      </c>
      <c r="T44" s="473"/>
      <c r="U44" s="458"/>
      <c r="V44" s="463">
        <f t="shared" si="7"/>
        <v>0</v>
      </c>
      <c r="W44" s="464">
        <f t="shared" si="8"/>
        <v>0</v>
      </c>
      <c r="X44" s="459"/>
    </row>
    <row r="45" spans="2:24" ht="15.6">
      <c r="B45" s="183" t="s">
        <v>424</v>
      </c>
      <c r="C45" s="184" t="s">
        <v>382</v>
      </c>
      <c r="D45" s="185" t="s">
        <v>381</v>
      </c>
      <c r="E45" s="185" t="s">
        <v>23</v>
      </c>
      <c r="F45" s="187">
        <f>'ROUTE INFO'!I53</f>
        <v>0</v>
      </c>
      <c r="G45" s="262">
        <v>21.23</v>
      </c>
      <c r="H45" s="457">
        <f t="shared" si="0"/>
        <v>0</v>
      </c>
      <c r="I45" s="458"/>
      <c r="J45" s="463">
        <f t="shared" si="1"/>
        <v>0</v>
      </c>
      <c r="K45" s="464">
        <f t="shared" si="2"/>
        <v>0</v>
      </c>
      <c r="L45" s="473"/>
      <c r="M45" s="458"/>
      <c r="N45" s="463">
        <f t="shared" si="3"/>
        <v>0</v>
      </c>
      <c r="O45" s="464">
        <f t="shared" si="4"/>
        <v>0</v>
      </c>
      <c r="P45" s="473"/>
      <c r="Q45" s="458"/>
      <c r="R45" s="463">
        <f t="shared" si="5"/>
        <v>0</v>
      </c>
      <c r="S45" s="464">
        <f t="shared" si="6"/>
        <v>0</v>
      </c>
      <c r="T45" s="473"/>
      <c r="U45" s="458"/>
      <c r="V45" s="463">
        <f t="shared" si="7"/>
        <v>0</v>
      </c>
      <c r="W45" s="464">
        <f t="shared" si="8"/>
        <v>0</v>
      </c>
      <c r="X45" s="459"/>
    </row>
    <row r="46" spans="2:24" ht="15.6">
      <c r="B46" s="183" t="s">
        <v>424</v>
      </c>
      <c r="C46" s="184" t="s">
        <v>250</v>
      </c>
      <c r="D46" s="185" t="s">
        <v>255</v>
      </c>
      <c r="E46" s="185" t="s">
        <v>26</v>
      </c>
      <c r="F46" s="97"/>
      <c r="G46" s="262">
        <v>18</v>
      </c>
      <c r="H46" s="457">
        <f t="shared" si="0"/>
        <v>0</v>
      </c>
      <c r="I46" s="458"/>
      <c r="J46" s="463">
        <f t="shared" si="1"/>
        <v>0</v>
      </c>
      <c r="K46" s="464">
        <f t="shared" si="2"/>
        <v>0</v>
      </c>
      <c r="L46" s="473"/>
      <c r="M46" s="458"/>
      <c r="N46" s="463">
        <f t="shared" si="3"/>
        <v>0</v>
      </c>
      <c r="O46" s="464">
        <f t="shared" si="4"/>
        <v>0</v>
      </c>
      <c r="P46" s="473"/>
      <c r="Q46" s="458"/>
      <c r="R46" s="463">
        <f t="shared" si="5"/>
        <v>0</v>
      </c>
      <c r="S46" s="464">
        <f t="shared" si="6"/>
        <v>0</v>
      </c>
      <c r="T46" s="473"/>
      <c r="U46" s="458"/>
      <c r="V46" s="463">
        <f t="shared" si="7"/>
        <v>0</v>
      </c>
      <c r="W46" s="464">
        <f t="shared" si="8"/>
        <v>0</v>
      </c>
      <c r="X46" s="459"/>
    </row>
    <row r="47" spans="2:24" ht="15.6">
      <c r="B47" s="183" t="s">
        <v>424</v>
      </c>
      <c r="C47" s="184" t="s">
        <v>251</v>
      </c>
      <c r="D47" s="185" t="s">
        <v>244</v>
      </c>
      <c r="E47" s="185" t="s">
        <v>26</v>
      </c>
      <c r="F47" s="97"/>
      <c r="G47" s="262">
        <v>16.59</v>
      </c>
      <c r="H47" s="457">
        <f t="shared" si="0"/>
        <v>0</v>
      </c>
      <c r="I47" s="458"/>
      <c r="J47" s="463">
        <f t="shared" si="1"/>
        <v>0</v>
      </c>
      <c r="K47" s="464">
        <f t="shared" si="2"/>
        <v>0</v>
      </c>
      <c r="L47" s="473"/>
      <c r="M47" s="458"/>
      <c r="N47" s="463">
        <f t="shared" si="3"/>
        <v>0</v>
      </c>
      <c r="O47" s="464">
        <f t="shared" si="4"/>
        <v>0</v>
      </c>
      <c r="P47" s="473"/>
      <c r="Q47" s="458"/>
      <c r="R47" s="463">
        <f t="shared" si="5"/>
        <v>0</v>
      </c>
      <c r="S47" s="464">
        <f t="shared" si="6"/>
        <v>0</v>
      </c>
      <c r="T47" s="473"/>
      <c r="U47" s="458"/>
      <c r="V47" s="463">
        <f t="shared" si="7"/>
        <v>0</v>
      </c>
      <c r="W47" s="464">
        <f t="shared" si="8"/>
        <v>0</v>
      </c>
      <c r="X47" s="459"/>
    </row>
    <row r="48" spans="2:24" ht="15.6">
      <c r="B48" s="183" t="s">
        <v>424</v>
      </c>
      <c r="C48" s="184" t="s">
        <v>252</v>
      </c>
      <c r="D48" s="185" t="s">
        <v>245</v>
      </c>
      <c r="E48" s="185" t="s">
        <v>26</v>
      </c>
      <c r="F48" s="97"/>
      <c r="G48" s="262">
        <v>13.77</v>
      </c>
      <c r="H48" s="457">
        <f t="shared" si="0"/>
        <v>0</v>
      </c>
      <c r="I48" s="458"/>
      <c r="J48" s="463">
        <f t="shared" si="1"/>
        <v>0</v>
      </c>
      <c r="K48" s="464">
        <f t="shared" si="2"/>
        <v>0</v>
      </c>
      <c r="L48" s="473"/>
      <c r="M48" s="458"/>
      <c r="N48" s="463">
        <f t="shared" si="3"/>
        <v>0</v>
      </c>
      <c r="O48" s="464">
        <f t="shared" si="4"/>
        <v>0</v>
      </c>
      <c r="P48" s="473"/>
      <c r="Q48" s="458"/>
      <c r="R48" s="463">
        <f t="shared" si="5"/>
        <v>0</v>
      </c>
      <c r="S48" s="464">
        <f t="shared" si="6"/>
        <v>0</v>
      </c>
      <c r="T48" s="473"/>
      <c r="U48" s="458"/>
      <c r="V48" s="463">
        <f t="shared" si="7"/>
        <v>0</v>
      </c>
      <c r="W48" s="464">
        <f t="shared" si="8"/>
        <v>0</v>
      </c>
      <c r="X48" s="459"/>
    </row>
    <row r="49" spans="2:24" ht="15.6">
      <c r="B49" s="183" t="s">
        <v>424</v>
      </c>
      <c r="C49" s="184" t="s">
        <v>242</v>
      </c>
      <c r="D49" s="185" t="s">
        <v>246</v>
      </c>
      <c r="E49" s="185" t="s">
        <v>26</v>
      </c>
      <c r="F49" s="97"/>
      <c r="G49" s="262">
        <v>0.25</v>
      </c>
      <c r="H49" s="457">
        <f t="shared" si="0"/>
        <v>0</v>
      </c>
      <c r="I49" s="458"/>
      <c r="J49" s="463">
        <f t="shared" si="1"/>
        <v>0</v>
      </c>
      <c r="K49" s="464">
        <f t="shared" si="2"/>
        <v>0</v>
      </c>
      <c r="L49" s="473"/>
      <c r="M49" s="458"/>
      <c r="N49" s="463">
        <f t="shared" si="3"/>
        <v>0</v>
      </c>
      <c r="O49" s="464">
        <f t="shared" si="4"/>
        <v>0</v>
      </c>
      <c r="P49" s="473"/>
      <c r="Q49" s="458"/>
      <c r="R49" s="463">
        <f t="shared" si="5"/>
        <v>0</v>
      </c>
      <c r="S49" s="464">
        <f t="shared" si="6"/>
        <v>0</v>
      </c>
      <c r="T49" s="473"/>
      <c r="U49" s="458"/>
      <c r="V49" s="463">
        <f t="shared" si="7"/>
        <v>0</v>
      </c>
      <c r="W49" s="464">
        <f t="shared" si="8"/>
        <v>0</v>
      </c>
      <c r="X49" s="459"/>
    </row>
    <row r="50" spans="2:24" ht="15.6">
      <c r="B50" s="183" t="s">
        <v>424</v>
      </c>
      <c r="C50" s="442" t="s">
        <v>722</v>
      </c>
      <c r="D50" s="444" t="s">
        <v>729</v>
      </c>
      <c r="E50" s="185" t="s">
        <v>26</v>
      </c>
      <c r="F50" s="447"/>
      <c r="G50" s="448">
        <v>18.75</v>
      </c>
      <c r="H50" s="457">
        <f t="shared" ref="H50:H57" si="79">F50*G50</f>
        <v>0</v>
      </c>
      <c r="I50" s="458"/>
      <c r="J50" s="463">
        <f t="shared" ref="J50:J57" si="80">I50+F50</f>
        <v>0</v>
      </c>
      <c r="K50" s="464">
        <f t="shared" ref="K50:K57" si="81">J50*G50</f>
        <v>0</v>
      </c>
      <c r="L50" s="473"/>
      <c r="M50" s="458"/>
      <c r="N50" s="463">
        <f t="shared" ref="N50:N57" si="82">M50+J50</f>
        <v>0</v>
      </c>
      <c r="O50" s="464">
        <f t="shared" ref="O50:O57" si="83">N50*G50</f>
        <v>0</v>
      </c>
      <c r="P50" s="473"/>
      <c r="Q50" s="458"/>
      <c r="R50" s="463">
        <f t="shared" ref="R50:R57" si="84">Q50+N50</f>
        <v>0</v>
      </c>
      <c r="S50" s="464">
        <f t="shared" ref="S50:S57" si="85">R50*G50</f>
        <v>0</v>
      </c>
      <c r="T50" s="473"/>
      <c r="U50" s="458"/>
      <c r="V50" s="463">
        <f t="shared" ref="V50:V57" si="86">U50+R50</f>
        <v>0</v>
      </c>
      <c r="W50" s="464">
        <f t="shared" ref="W50:W57" si="87">V50*G50</f>
        <v>0</v>
      </c>
      <c r="X50" s="459"/>
    </row>
    <row r="51" spans="2:24" ht="15.6">
      <c r="B51" s="183" t="s">
        <v>424</v>
      </c>
      <c r="C51" s="442" t="s">
        <v>723</v>
      </c>
      <c r="D51" s="444" t="s">
        <v>724</v>
      </c>
      <c r="E51" s="185" t="s">
        <v>26</v>
      </c>
      <c r="F51" s="447"/>
      <c r="G51" s="448">
        <v>21.5</v>
      </c>
      <c r="H51" s="457">
        <f t="shared" si="79"/>
        <v>0</v>
      </c>
      <c r="I51" s="458"/>
      <c r="J51" s="463">
        <f t="shared" si="80"/>
        <v>0</v>
      </c>
      <c r="K51" s="464">
        <f t="shared" si="81"/>
        <v>0</v>
      </c>
      <c r="L51" s="473"/>
      <c r="M51" s="458"/>
      <c r="N51" s="463">
        <f t="shared" si="82"/>
        <v>0</v>
      </c>
      <c r="O51" s="464">
        <f t="shared" si="83"/>
        <v>0</v>
      </c>
      <c r="P51" s="473"/>
      <c r="Q51" s="458"/>
      <c r="R51" s="463">
        <f t="shared" si="84"/>
        <v>0</v>
      </c>
      <c r="S51" s="464">
        <f t="shared" si="85"/>
        <v>0</v>
      </c>
      <c r="T51" s="473"/>
      <c r="U51" s="458"/>
      <c r="V51" s="463">
        <f t="shared" si="86"/>
        <v>0</v>
      </c>
      <c r="W51" s="464">
        <f t="shared" si="87"/>
        <v>0</v>
      </c>
      <c r="X51" s="459"/>
    </row>
    <row r="52" spans="2:24" ht="15.6">
      <c r="B52" s="183" t="s">
        <v>424</v>
      </c>
      <c r="C52" s="442" t="s">
        <v>727</v>
      </c>
      <c r="D52" s="444" t="s">
        <v>728</v>
      </c>
      <c r="E52" s="185" t="s">
        <v>26</v>
      </c>
      <c r="F52" s="447"/>
      <c r="G52" s="448">
        <v>1.45</v>
      </c>
      <c r="H52" s="457">
        <f t="shared" si="79"/>
        <v>0</v>
      </c>
      <c r="I52" s="458"/>
      <c r="J52" s="463">
        <f t="shared" si="80"/>
        <v>0</v>
      </c>
      <c r="K52" s="464">
        <f t="shared" si="81"/>
        <v>0</v>
      </c>
      <c r="L52" s="473"/>
      <c r="M52" s="458"/>
      <c r="N52" s="463">
        <f t="shared" si="82"/>
        <v>0</v>
      </c>
      <c r="O52" s="464">
        <f t="shared" si="83"/>
        <v>0</v>
      </c>
      <c r="P52" s="473"/>
      <c r="Q52" s="458"/>
      <c r="R52" s="463">
        <f t="shared" si="84"/>
        <v>0</v>
      </c>
      <c r="S52" s="464">
        <f t="shared" si="85"/>
        <v>0</v>
      </c>
      <c r="T52" s="473"/>
      <c r="U52" s="458"/>
      <c r="V52" s="463">
        <f t="shared" si="86"/>
        <v>0</v>
      </c>
      <c r="W52" s="464">
        <f t="shared" si="87"/>
        <v>0</v>
      </c>
      <c r="X52" s="459"/>
    </row>
    <row r="53" spans="2:24" ht="15.6">
      <c r="B53" s="183" t="s">
        <v>424</v>
      </c>
      <c r="C53" s="442" t="s">
        <v>730</v>
      </c>
      <c r="D53" s="444" t="s">
        <v>731</v>
      </c>
      <c r="E53" s="185" t="s">
        <v>26</v>
      </c>
      <c r="F53" s="447"/>
      <c r="G53" s="448">
        <v>28.49</v>
      </c>
      <c r="H53" s="457">
        <f t="shared" ref="H53" si="88">F53*G53</f>
        <v>0</v>
      </c>
      <c r="I53" s="458"/>
      <c r="J53" s="463">
        <f t="shared" ref="J53" si="89">I53+F53</f>
        <v>0</v>
      </c>
      <c r="K53" s="464">
        <f t="shared" ref="K53" si="90">J53*G53</f>
        <v>0</v>
      </c>
      <c r="L53" s="473"/>
      <c r="M53" s="458"/>
      <c r="N53" s="463">
        <f t="shared" ref="N53" si="91">M53+J53</f>
        <v>0</v>
      </c>
      <c r="O53" s="464">
        <f t="shared" ref="O53" si="92">N53*G53</f>
        <v>0</v>
      </c>
      <c r="P53" s="473"/>
      <c r="Q53" s="458"/>
      <c r="R53" s="463">
        <f t="shared" ref="R53" si="93">Q53+N53</f>
        <v>0</v>
      </c>
      <c r="S53" s="464">
        <f t="shared" ref="S53" si="94">R53*G53</f>
        <v>0</v>
      </c>
      <c r="T53" s="473"/>
      <c r="U53" s="458"/>
      <c r="V53" s="463">
        <f t="shared" ref="V53" si="95">U53+R53</f>
        <v>0</v>
      </c>
      <c r="W53" s="464">
        <f t="shared" ref="W53" si="96">V53*G53</f>
        <v>0</v>
      </c>
      <c r="X53" s="459"/>
    </row>
    <row r="54" spans="2:24" ht="15.6">
      <c r="B54" s="183" t="s">
        <v>424</v>
      </c>
      <c r="C54" s="184" t="s">
        <v>254</v>
      </c>
      <c r="D54" s="185" t="s">
        <v>201</v>
      </c>
      <c r="E54" s="185" t="s">
        <v>23</v>
      </c>
      <c r="F54" s="187">
        <f>'ROUTE INFO'!F51</f>
        <v>0</v>
      </c>
      <c r="G54" s="262">
        <v>24.2</v>
      </c>
      <c r="H54" s="457">
        <f t="shared" si="79"/>
        <v>0</v>
      </c>
      <c r="I54" s="458"/>
      <c r="J54" s="463">
        <f t="shared" si="80"/>
        <v>0</v>
      </c>
      <c r="K54" s="464">
        <f t="shared" si="81"/>
        <v>0</v>
      </c>
      <c r="L54" s="473"/>
      <c r="M54" s="458"/>
      <c r="N54" s="463">
        <f t="shared" si="82"/>
        <v>0</v>
      </c>
      <c r="O54" s="464">
        <f t="shared" si="83"/>
        <v>0</v>
      </c>
      <c r="P54" s="473"/>
      <c r="Q54" s="458"/>
      <c r="R54" s="463">
        <f t="shared" si="84"/>
        <v>0</v>
      </c>
      <c r="S54" s="464">
        <f t="shared" si="85"/>
        <v>0</v>
      </c>
      <c r="T54" s="473"/>
      <c r="U54" s="458"/>
      <c r="V54" s="463">
        <f t="shared" si="86"/>
        <v>0</v>
      </c>
      <c r="W54" s="464">
        <f t="shared" si="87"/>
        <v>0</v>
      </c>
      <c r="X54" s="459"/>
    </row>
    <row r="55" spans="2:24" ht="15.6">
      <c r="B55" s="318" t="s">
        <v>424</v>
      </c>
      <c r="C55" s="319" t="s">
        <v>709</v>
      </c>
      <c r="D55" s="320" t="s">
        <v>710</v>
      </c>
      <c r="E55" s="320" t="s">
        <v>23</v>
      </c>
      <c r="F55" s="321">
        <f>'ROUTE INFO'!F52*1.1</f>
        <v>0</v>
      </c>
      <c r="G55" s="322">
        <v>76</v>
      </c>
      <c r="H55" s="457">
        <f t="shared" si="79"/>
        <v>0</v>
      </c>
      <c r="I55" s="458"/>
      <c r="J55" s="463">
        <f t="shared" si="80"/>
        <v>0</v>
      </c>
      <c r="K55" s="464">
        <f t="shared" si="81"/>
        <v>0</v>
      </c>
      <c r="L55" s="473"/>
      <c r="M55" s="458"/>
      <c r="N55" s="463">
        <f t="shared" si="82"/>
        <v>0</v>
      </c>
      <c r="O55" s="464">
        <f t="shared" si="83"/>
        <v>0</v>
      </c>
      <c r="P55" s="473"/>
      <c r="Q55" s="458"/>
      <c r="R55" s="463">
        <f t="shared" si="84"/>
        <v>0</v>
      </c>
      <c r="S55" s="464">
        <f t="shared" si="85"/>
        <v>0</v>
      </c>
      <c r="T55" s="473"/>
      <c r="U55" s="458"/>
      <c r="V55" s="463">
        <f t="shared" si="86"/>
        <v>0</v>
      </c>
      <c r="W55" s="464">
        <f t="shared" si="87"/>
        <v>0</v>
      </c>
      <c r="X55" s="459"/>
    </row>
    <row r="56" spans="2:24" ht="15.6">
      <c r="B56" s="183" t="s">
        <v>424</v>
      </c>
      <c r="C56" s="442" t="s">
        <v>725</v>
      </c>
      <c r="D56" s="444" t="s">
        <v>726</v>
      </c>
      <c r="E56" s="320" t="s">
        <v>23</v>
      </c>
      <c r="F56" s="447"/>
      <c r="G56" s="448">
        <v>62.35</v>
      </c>
      <c r="H56" s="457">
        <f t="shared" si="79"/>
        <v>0</v>
      </c>
      <c r="I56" s="458"/>
      <c r="J56" s="463">
        <f t="shared" si="80"/>
        <v>0</v>
      </c>
      <c r="K56" s="464">
        <f t="shared" si="81"/>
        <v>0</v>
      </c>
      <c r="L56" s="473"/>
      <c r="M56" s="458"/>
      <c r="N56" s="463">
        <f t="shared" si="82"/>
        <v>0</v>
      </c>
      <c r="O56" s="464">
        <f t="shared" si="83"/>
        <v>0</v>
      </c>
      <c r="P56" s="473"/>
      <c r="Q56" s="458"/>
      <c r="R56" s="463">
        <f t="shared" si="84"/>
        <v>0</v>
      </c>
      <c r="S56" s="464">
        <f t="shared" si="85"/>
        <v>0</v>
      </c>
      <c r="T56" s="473"/>
      <c r="U56" s="458"/>
      <c r="V56" s="463">
        <f t="shared" si="86"/>
        <v>0</v>
      </c>
      <c r="W56" s="464">
        <f t="shared" si="87"/>
        <v>0</v>
      </c>
      <c r="X56" s="459"/>
    </row>
    <row r="57" spans="2:24" ht="15.6">
      <c r="B57" s="183" t="s">
        <v>424</v>
      </c>
      <c r="C57" s="184" t="s">
        <v>237</v>
      </c>
      <c r="D57" s="185" t="s">
        <v>384</v>
      </c>
      <c r="E57" s="185" t="s">
        <v>23</v>
      </c>
      <c r="F57" s="321">
        <f>'ROUTE INFO'!F50*1.1</f>
        <v>0</v>
      </c>
      <c r="G57" s="262">
        <v>30.59</v>
      </c>
      <c r="H57" s="457">
        <f t="shared" si="79"/>
        <v>0</v>
      </c>
      <c r="I57" s="458"/>
      <c r="J57" s="463">
        <f t="shared" si="80"/>
        <v>0</v>
      </c>
      <c r="K57" s="464">
        <f t="shared" si="81"/>
        <v>0</v>
      </c>
      <c r="L57" s="473"/>
      <c r="M57" s="458"/>
      <c r="N57" s="463">
        <f t="shared" si="82"/>
        <v>0</v>
      </c>
      <c r="O57" s="464">
        <f t="shared" si="83"/>
        <v>0</v>
      </c>
      <c r="P57" s="473"/>
      <c r="Q57" s="458"/>
      <c r="R57" s="463">
        <f t="shared" si="84"/>
        <v>0</v>
      </c>
      <c r="S57" s="464">
        <f t="shared" si="85"/>
        <v>0</v>
      </c>
      <c r="T57" s="473"/>
      <c r="U57" s="458"/>
      <c r="V57" s="463">
        <f t="shared" si="86"/>
        <v>0</v>
      </c>
      <c r="W57" s="464">
        <f t="shared" si="87"/>
        <v>0</v>
      </c>
      <c r="X57" s="459"/>
    </row>
    <row r="58" spans="2:24" ht="15.6">
      <c r="B58" s="183" t="s">
        <v>424</v>
      </c>
      <c r="C58" s="184" t="s">
        <v>295</v>
      </c>
      <c r="D58" s="185" t="s">
        <v>383</v>
      </c>
      <c r="E58" s="185" t="s">
        <v>23</v>
      </c>
      <c r="F58" s="321">
        <f>'ROUTE INFO'!F49*1.1</f>
        <v>0</v>
      </c>
      <c r="G58" s="262">
        <v>8.9</v>
      </c>
      <c r="H58" s="457">
        <f t="shared" si="0"/>
        <v>0</v>
      </c>
      <c r="I58" s="458"/>
      <c r="J58" s="463">
        <f t="shared" si="1"/>
        <v>0</v>
      </c>
      <c r="K58" s="464">
        <f t="shared" si="2"/>
        <v>0</v>
      </c>
      <c r="L58" s="473"/>
      <c r="M58" s="458"/>
      <c r="N58" s="463">
        <f t="shared" si="3"/>
        <v>0</v>
      </c>
      <c r="O58" s="464">
        <f t="shared" si="4"/>
        <v>0</v>
      </c>
      <c r="P58" s="473"/>
      <c r="Q58" s="458"/>
      <c r="R58" s="463">
        <f t="shared" si="5"/>
        <v>0</v>
      </c>
      <c r="S58" s="464">
        <f t="shared" si="6"/>
        <v>0</v>
      </c>
      <c r="T58" s="473"/>
      <c r="U58" s="458"/>
      <c r="V58" s="463">
        <f t="shared" si="7"/>
        <v>0</v>
      </c>
      <c r="W58" s="464">
        <f t="shared" si="8"/>
        <v>0</v>
      </c>
      <c r="X58" s="459"/>
    </row>
    <row r="59" spans="2:24" ht="15.6">
      <c r="B59" s="183" t="s">
        <v>424</v>
      </c>
      <c r="C59" s="184" t="s">
        <v>249</v>
      </c>
      <c r="D59" s="185" t="s">
        <v>248</v>
      </c>
      <c r="E59" s="185" t="s">
        <v>23</v>
      </c>
      <c r="F59" s="97"/>
      <c r="G59" s="262">
        <v>1</v>
      </c>
      <c r="H59" s="457">
        <f t="shared" si="0"/>
        <v>0</v>
      </c>
      <c r="I59" s="458"/>
      <c r="J59" s="463">
        <f t="shared" si="1"/>
        <v>0</v>
      </c>
      <c r="K59" s="464">
        <f t="shared" si="2"/>
        <v>0</v>
      </c>
      <c r="L59" s="473"/>
      <c r="M59" s="458"/>
      <c r="N59" s="463">
        <f t="shared" si="3"/>
        <v>0</v>
      </c>
      <c r="O59" s="464">
        <f t="shared" si="4"/>
        <v>0</v>
      </c>
      <c r="P59" s="473"/>
      <c r="Q59" s="458"/>
      <c r="R59" s="463">
        <f t="shared" si="5"/>
        <v>0</v>
      </c>
      <c r="S59" s="464">
        <f t="shared" si="6"/>
        <v>0</v>
      </c>
      <c r="T59" s="473"/>
      <c r="U59" s="458"/>
      <c r="V59" s="463">
        <f t="shared" si="7"/>
        <v>0</v>
      </c>
      <c r="W59" s="464">
        <f t="shared" si="8"/>
        <v>0</v>
      </c>
      <c r="X59" s="459"/>
    </row>
    <row r="60" spans="2:24" ht="15.6">
      <c r="B60" s="183" t="s">
        <v>424</v>
      </c>
      <c r="C60" s="184" t="s">
        <v>468</v>
      </c>
      <c r="D60" s="236" t="s">
        <v>702</v>
      </c>
      <c r="E60" s="236" t="s">
        <v>23</v>
      </c>
      <c r="F60" s="237"/>
      <c r="G60" s="262">
        <v>11.87</v>
      </c>
      <c r="H60" s="457">
        <f>F60*G60</f>
        <v>0</v>
      </c>
      <c r="I60" s="458"/>
      <c r="J60" s="463">
        <f t="shared" ref="J60:J69" si="97">I60+F60</f>
        <v>0</v>
      </c>
      <c r="K60" s="464">
        <f t="shared" ref="K60:K69" si="98">J60*G60</f>
        <v>0</v>
      </c>
      <c r="L60" s="473"/>
      <c r="M60" s="458"/>
      <c r="N60" s="463">
        <f t="shared" ref="N60:N69" si="99">M60+J60</f>
        <v>0</v>
      </c>
      <c r="O60" s="464">
        <f t="shared" ref="O60:O69" si="100">N60*G60</f>
        <v>0</v>
      </c>
      <c r="P60" s="473"/>
      <c r="Q60" s="458"/>
      <c r="R60" s="463">
        <f t="shared" ref="R60:R69" si="101">Q60+N60</f>
        <v>0</v>
      </c>
      <c r="S60" s="464">
        <f t="shared" ref="S60:S69" si="102">R60*G60</f>
        <v>0</v>
      </c>
      <c r="T60" s="473"/>
      <c r="U60" s="458"/>
      <c r="V60" s="463">
        <f t="shared" ref="V60:V69" si="103">U60+R60</f>
        <v>0</v>
      </c>
      <c r="W60" s="464">
        <f t="shared" ref="W60:W69" si="104">V60*G60</f>
        <v>0</v>
      </c>
      <c r="X60" s="459"/>
    </row>
    <row r="61" spans="2:24" ht="15.6">
      <c r="B61" s="183" t="s">
        <v>424</v>
      </c>
      <c r="C61" s="184" t="s">
        <v>484</v>
      </c>
      <c r="D61" s="236" t="s">
        <v>480</v>
      </c>
      <c r="E61" s="185" t="s">
        <v>26</v>
      </c>
      <c r="F61" s="237"/>
      <c r="G61" s="262">
        <v>2.67</v>
      </c>
      <c r="H61" s="457">
        <f t="shared" ref="H61:H75" si="105">F61*G61</f>
        <v>0</v>
      </c>
      <c r="I61" s="458"/>
      <c r="J61" s="463">
        <f t="shared" si="97"/>
        <v>0</v>
      </c>
      <c r="K61" s="464">
        <f t="shared" si="98"/>
        <v>0</v>
      </c>
      <c r="L61" s="473"/>
      <c r="M61" s="458"/>
      <c r="N61" s="463">
        <f t="shared" si="99"/>
        <v>0</v>
      </c>
      <c r="O61" s="464">
        <f t="shared" si="100"/>
        <v>0</v>
      </c>
      <c r="P61" s="473"/>
      <c r="Q61" s="458"/>
      <c r="R61" s="463">
        <f t="shared" si="101"/>
        <v>0</v>
      </c>
      <c r="S61" s="464">
        <f t="shared" si="102"/>
        <v>0</v>
      </c>
      <c r="T61" s="473"/>
      <c r="U61" s="458"/>
      <c r="V61" s="463">
        <f t="shared" si="103"/>
        <v>0</v>
      </c>
      <c r="W61" s="464">
        <f t="shared" si="104"/>
        <v>0</v>
      </c>
      <c r="X61" s="459"/>
    </row>
    <row r="62" spans="2:24" ht="15.6">
      <c r="B62" s="499" t="s">
        <v>424</v>
      </c>
      <c r="C62" s="184" t="s">
        <v>848</v>
      </c>
      <c r="D62" s="500" t="s">
        <v>844</v>
      </c>
      <c r="E62" s="500" t="s">
        <v>26</v>
      </c>
      <c r="F62" s="501"/>
      <c r="G62" s="502">
        <v>4.5199999999999996</v>
      </c>
      <c r="H62" s="457">
        <f t="shared" ref="H62:H65" si="106">F62*G62</f>
        <v>0</v>
      </c>
      <c r="I62" s="458"/>
      <c r="J62" s="463">
        <f t="shared" ref="J62:J65" si="107">I62+F62</f>
        <v>0</v>
      </c>
      <c r="K62" s="464">
        <f t="shared" ref="K62:K65" si="108">J62*G62</f>
        <v>0</v>
      </c>
      <c r="L62" s="473"/>
      <c r="M62" s="458"/>
      <c r="N62" s="463">
        <f t="shared" ref="N62:N65" si="109">M62+J62</f>
        <v>0</v>
      </c>
      <c r="O62" s="464">
        <f t="shared" ref="O62:O65" si="110">N62*G62</f>
        <v>0</v>
      </c>
      <c r="P62" s="473"/>
      <c r="Q62" s="458"/>
      <c r="R62" s="463">
        <f t="shared" ref="R62:R65" si="111">Q62+N62</f>
        <v>0</v>
      </c>
      <c r="S62" s="464">
        <f t="shared" ref="S62:S65" si="112">R62*G62</f>
        <v>0</v>
      </c>
      <c r="T62" s="473"/>
      <c r="U62" s="458"/>
      <c r="V62" s="463">
        <f t="shared" ref="V62:V65" si="113">U62+R62</f>
        <v>0</v>
      </c>
      <c r="W62" s="464">
        <f t="shared" ref="W62:W65" si="114">V62*G62</f>
        <v>0</v>
      </c>
      <c r="X62" s="459"/>
    </row>
    <row r="63" spans="2:24" ht="15.6">
      <c r="B63" s="499" t="s">
        <v>424</v>
      </c>
      <c r="C63" s="184" t="s">
        <v>849</v>
      </c>
      <c r="D63" s="500" t="s">
        <v>845</v>
      </c>
      <c r="E63" s="500" t="s">
        <v>26</v>
      </c>
      <c r="F63" s="501"/>
      <c r="G63" s="502">
        <v>13.48</v>
      </c>
      <c r="H63" s="457">
        <f t="shared" si="106"/>
        <v>0</v>
      </c>
      <c r="I63" s="458"/>
      <c r="J63" s="463">
        <f t="shared" si="107"/>
        <v>0</v>
      </c>
      <c r="K63" s="464">
        <f t="shared" si="108"/>
        <v>0</v>
      </c>
      <c r="L63" s="473"/>
      <c r="M63" s="458"/>
      <c r="N63" s="463">
        <f t="shared" si="109"/>
        <v>0</v>
      </c>
      <c r="O63" s="464">
        <f t="shared" si="110"/>
        <v>0</v>
      </c>
      <c r="P63" s="473"/>
      <c r="Q63" s="458"/>
      <c r="R63" s="463">
        <f t="shared" si="111"/>
        <v>0</v>
      </c>
      <c r="S63" s="464">
        <f t="shared" si="112"/>
        <v>0</v>
      </c>
      <c r="T63" s="473"/>
      <c r="U63" s="458"/>
      <c r="V63" s="463">
        <f t="shared" si="113"/>
        <v>0</v>
      </c>
      <c r="W63" s="464">
        <f t="shared" si="114"/>
        <v>0</v>
      </c>
      <c r="X63" s="459"/>
    </row>
    <row r="64" spans="2:24" ht="15.6">
      <c r="B64" s="499" t="s">
        <v>424</v>
      </c>
      <c r="C64" s="184" t="s">
        <v>850</v>
      </c>
      <c r="D64" s="500" t="s">
        <v>846</v>
      </c>
      <c r="E64" s="500" t="s">
        <v>26</v>
      </c>
      <c r="F64" s="501"/>
      <c r="G64" s="502">
        <v>4.1500000000000004</v>
      </c>
      <c r="H64" s="457">
        <f t="shared" si="106"/>
        <v>0</v>
      </c>
      <c r="I64" s="458"/>
      <c r="J64" s="463">
        <f t="shared" si="107"/>
        <v>0</v>
      </c>
      <c r="K64" s="464">
        <f t="shared" si="108"/>
        <v>0</v>
      </c>
      <c r="L64" s="473"/>
      <c r="M64" s="458"/>
      <c r="N64" s="463">
        <f t="shared" si="109"/>
        <v>0</v>
      </c>
      <c r="O64" s="464">
        <f t="shared" si="110"/>
        <v>0</v>
      </c>
      <c r="P64" s="473"/>
      <c r="Q64" s="458"/>
      <c r="R64" s="463">
        <f t="shared" si="111"/>
        <v>0</v>
      </c>
      <c r="S64" s="464">
        <f t="shared" si="112"/>
        <v>0</v>
      </c>
      <c r="T64" s="473"/>
      <c r="U64" s="458"/>
      <c r="V64" s="463">
        <f t="shared" si="113"/>
        <v>0</v>
      </c>
      <c r="W64" s="464">
        <f t="shared" si="114"/>
        <v>0</v>
      </c>
      <c r="X64" s="459"/>
    </row>
    <row r="65" spans="2:24" ht="15.6">
      <c r="B65" s="499" t="s">
        <v>424</v>
      </c>
      <c r="C65" s="184" t="s">
        <v>851</v>
      </c>
      <c r="D65" s="500" t="s">
        <v>847</v>
      </c>
      <c r="E65" s="500" t="s">
        <v>26</v>
      </c>
      <c r="F65" s="501"/>
      <c r="G65" s="502">
        <v>7.83</v>
      </c>
      <c r="H65" s="457">
        <f t="shared" si="106"/>
        <v>0</v>
      </c>
      <c r="I65" s="458"/>
      <c r="J65" s="463">
        <f t="shared" si="107"/>
        <v>0</v>
      </c>
      <c r="K65" s="464">
        <f t="shared" si="108"/>
        <v>0</v>
      </c>
      <c r="L65" s="473"/>
      <c r="M65" s="458"/>
      <c r="N65" s="463">
        <f t="shared" si="109"/>
        <v>0</v>
      </c>
      <c r="O65" s="464">
        <f t="shared" si="110"/>
        <v>0</v>
      </c>
      <c r="P65" s="473"/>
      <c r="Q65" s="458"/>
      <c r="R65" s="463">
        <f t="shared" si="111"/>
        <v>0</v>
      </c>
      <c r="S65" s="464">
        <f t="shared" si="112"/>
        <v>0</v>
      </c>
      <c r="T65" s="473"/>
      <c r="U65" s="458"/>
      <c r="V65" s="463">
        <f t="shared" si="113"/>
        <v>0</v>
      </c>
      <c r="W65" s="464">
        <f t="shared" si="114"/>
        <v>0</v>
      </c>
      <c r="X65" s="459"/>
    </row>
    <row r="66" spans="2:24" ht="15.6">
      <c r="B66" s="499" t="s">
        <v>424</v>
      </c>
      <c r="C66" s="184" t="s">
        <v>870</v>
      </c>
      <c r="D66" s="500" t="s">
        <v>883</v>
      </c>
      <c r="E66" s="500" t="s">
        <v>26</v>
      </c>
      <c r="F66" s="501"/>
      <c r="G66" s="502">
        <v>6.53</v>
      </c>
      <c r="H66" s="457">
        <f t="shared" ref="H66" si="115">F66*G66</f>
        <v>0</v>
      </c>
      <c r="I66" s="458"/>
      <c r="J66" s="463">
        <f t="shared" ref="J66" si="116">I66+F66</f>
        <v>0</v>
      </c>
      <c r="K66" s="464">
        <f t="shared" ref="K66" si="117">J66*G66</f>
        <v>0</v>
      </c>
      <c r="L66" s="473"/>
      <c r="M66" s="458"/>
      <c r="N66" s="463">
        <f t="shared" ref="N66" si="118">M66+J66</f>
        <v>0</v>
      </c>
      <c r="O66" s="464">
        <f t="shared" ref="O66" si="119">N66*G66</f>
        <v>0</v>
      </c>
      <c r="P66" s="473"/>
      <c r="Q66" s="458"/>
      <c r="R66" s="463">
        <f t="shared" ref="R66" si="120">Q66+N66</f>
        <v>0</v>
      </c>
      <c r="S66" s="464">
        <f t="shared" ref="S66" si="121">R66*G66</f>
        <v>0</v>
      </c>
      <c r="T66" s="473"/>
      <c r="U66" s="458"/>
      <c r="V66" s="463">
        <f t="shared" ref="V66" si="122">U66+R66</f>
        <v>0</v>
      </c>
      <c r="W66" s="464">
        <f t="shared" ref="W66" si="123">V66*G66</f>
        <v>0</v>
      </c>
      <c r="X66" s="459"/>
    </row>
    <row r="67" spans="2:24" ht="15.6">
      <c r="B67" s="183" t="s">
        <v>424</v>
      </c>
      <c r="C67" s="184" t="s">
        <v>485</v>
      </c>
      <c r="D67" s="236" t="s">
        <v>703</v>
      </c>
      <c r="E67" s="236" t="s">
        <v>23</v>
      </c>
      <c r="F67" s="237"/>
      <c r="G67" s="262">
        <v>24.8</v>
      </c>
      <c r="H67" s="457">
        <f t="shared" si="105"/>
        <v>0</v>
      </c>
      <c r="I67" s="458"/>
      <c r="J67" s="463">
        <f t="shared" si="97"/>
        <v>0</v>
      </c>
      <c r="K67" s="464">
        <f t="shared" si="98"/>
        <v>0</v>
      </c>
      <c r="L67" s="473"/>
      <c r="M67" s="458"/>
      <c r="N67" s="463">
        <f t="shared" si="99"/>
        <v>0</v>
      </c>
      <c r="O67" s="464">
        <f t="shared" si="100"/>
        <v>0</v>
      </c>
      <c r="P67" s="473"/>
      <c r="Q67" s="458"/>
      <c r="R67" s="463">
        <f t="shared" si="101"/>
        <v>0</v>
      </c>
      <c r="S67" s="464">
        <f t="shared" si="102"/>
        <v>0</v>
      </c>
      <c r="T67" s="473"/>
      <c r="U67" s="458"/>
      <c r="V67" s="463">
        <f t="shared" si="103"/>
        <v>0</v>
      </c>
      <c r="W67" s="464">
        <f t="shared" si="104"/>
        <v>0</v>
      </c>
      <c r="X67" s="459"/>
    </row>
    <row r="68" spans="2:24" ht="15.6">
      <c r="B68" s="183" t="s">
        <v>424</v>
      </c>
      <c r="C68" s="184" t="s">
        <v>486</v>
      </c>
      <c r="D68" s="236" t="s">
        <v>481</v>
      </c>
      <c r="E68" s="185" t="s">
        <v>26</v>
      </c>
      <c r="F68" s="237"/>
      <c r="G68" s="262">
        <v>13</v>
      </c>
      <c r="H68" s="457">
        <f t="shared" si="105"/>
        <v>0</v>
      </c>
      <c r="I68" s="458"/>
      <c r="J68" s="463">
        <f t="shared" si="97"/>
        <v>0</v>
      </c>
      <c r="K68" s="464">
        <f t="shared" si="98"/>
        <v>0</v>
      </c>
      <c r="L68" s="473"/>
      <c r="M68" s="458"/>
      <c r="N68" s="463">
        <f t="shared" si="99"/>
        <v>0</v>
      </c>
      <c r="O68" s="464">
        <f t="shared" si="100"/>
        <v>0</v>
      </c>
      <c r="P68" s="473"/>
      <c r="Q68" s="458"/>
      <c r="R68" s="463">
        <f t="shared" si="101"/>
        <v>0</v>
      </c>
      <c r="S68" s="464">
        <f t="shared" si="102"/>
        <v>0</v>
      </c>
      <c r="T68" s="473"/>
      <c r="U68" s="458"/>
      <c r="V68" s="463">
        <f t="shared" si="103"/>
        <v>0</v>
      </c>
      <c r="W68" s="464">
        <f t="shared" si="104"/>
        <v>0</v>
      </c>
      <c r="X68" s="459"/>
    </row>
    <row r="69" spans="2:24" ht="15.6">
      <c r="B69" s="183" t="s">
        <v>424</v>
      </c>
      <c r="C69" s="184" t="s">
        <v>487</v>
      </c>
      <c r="D69" s="236" t="s">
        <v>482</v>
      </c>
      <c r="E69" s="185" t="s">
        <v>26</v>
      </c>
      <c r="F69" s="237"/>
      <c r="G69" s="262">
        <v>9.1</v>
      </c>
      <c r="H69" s="457">
        <f t="shared" si="105"/>
        <v>0</v>
      </c>
      <c r="I69" s="458"/>
      <c r="J69" s="463">
        <f t="shared" si="97"/>
        <v>0</v>
      </c>
      <c r="K69" s="464">
        <f t="shared" si="98"/>
        <v>0</v>
      </c>
      <c r="L69" s="473"/>
      <c r="M69" s="458"/>
      <c r="N69" s="463">
        <f t="shared" si="99"/>
        <v>0</v>
      </c>
      <c r="O69" s="464">
        <f t="shared" si="100"/>
        <v>0</v>
      </c>
      <c r="P69" s="473"/>
      <c r="Q69" s="458"/>
      <c r="R69" s="463">
        <f t="shared" si="101"/>
        <v>0</v>
      </c>
      <c r="S69" s="464">
        <f t="shared" si="102"/>
        <v>0</v>
      </c>
      <c r="T69" s="473"/>
      <c r="U69" s="458"/>
      <c r="V69" s="463">
        <f t="shared" si="103"/>
        <v>0</v>
      </c>
      <c r="W69" s="464">
        <f t="shared" si="104"/>
        <v>0</v>
      </c>
      <c r="X69" s="459"/>
    </row>
    <row r="70" spans="2:24" ht="15.6">
      <c r="B70" s="503" t="s">
        <v>424</v>
      </c>
      <c r="C70" s="513" t="s">
        <v>871</v>
      </c>
      <c r="D70" s="514" t="s">
        <v>906</v>
      </c>
      <c r="E70" s="514" t="s">
        <v>23</v>
      </c>
      <c r="F70" s="508">
        <v>3</v>
      </c>
      <c r="G70" s="516">
        <v>25</v>
      </c>
      <c r="H70" s="457">
        <f t="shared" si="105"/>
        <v>75</v>
      </c>
      <c r="I70" s="458"/>
      <c r="J70" s="463">
        <f t="shared" ref="J70:J80" si="124">I70+F70</f>
        <v>3</v>
      </c>
      <c r="K70" s="464">
        <f t="shared" ref="K70:K80" si="125">J70*G70</f>
        <v>75</v>
      </c>
      <c r="L70" s="473"/>
      <c r="M70" s="458"/>
      <c r="N70" s="463">
        <f t="shared" ref="N70:N80" si="126">M70+J70</f>
        <v>3</v>
      </c>
      <c r="O70" s="464">
        <f t="shared" ref="O70:O80" si="127">N70*G70</f>
        <v>75</v>
      </c>
      <c r="P70" s="473"/>
      <c r="Q70" s="458"/>
      <c r="R70" s="463">
        <f t="shared" ref="R70:R80" si="128">Q70+N70</f>
        <v>3</v>
      </c>
      <c r="S70" s="464">
        <f t="shared" ref="S70:S80" si="129">R70*G70</f>
        <v>75</v>
      </c>
      <c r="T70" s="473"/>
      <c r="U70" s="458"/>
      <c r="V70" s="463">
        <f t="shared" ref="V70:V80" si="130">U70+R70</f>
        <v>3</v>
      </c>
      <c r="W70" s="464">
        <f t="shared" ref="W70:W80" si="131">V70*G70</f>
        <v>75</v>
      </c>
      <c r="X70" s="459"/>
    </row>
    <row r="71" spans="2:24" ht="15.6">
      <c r="B71" s="503" t="s">
        <v>424</v>
      </c>
      <c r="C71" s="513" t="s">
        <v>872</v>
      </c>
      <c r="D71" s="514" t="s">
        <v>881</v>
      </c>
      <c r="E71" s="514" t="s">
        <v>26</v>
      </c>
      <c r="F71" s="508"/>
      <c r="G71" s="516">
        <v>12.63</v>
      </c>
      <c r="H71" s="457">
        <f>F71*G71</f>
        <v>0</v>
      </c>
      <c r="I71" s="458"/>
      <c r="J71" s="463">
        <f>I71+F71</f>
        <v>0</v>
      </c>
      <c r="K71" s="464">
        <f>J71*G71</f>
        <v>0</v>
      </c>
      <c r="L71" s="473"/>
      <c r="M71" s="458"/>
      <c r="N71" s="463">
        <f>M71+J71</f>
        <v>0</v>
      </c>
      <c r="O71" s="464">
        <f>N71*G71</f>
        <v>0</v>
      </c>
      <c r="P71" s="473"/>
      <c r="Q71" s="458"/>
      <c r="R71" s="463">
        <f>Q71+N71</f>
        <v>0</v>
      </c>
      <c r="S71" s="464">
        <f>R71*G71</f>
        <v>0</v>
      </c>
      <c r="T71" s="473"/>
      <c r="U71" s="458"/>
      <c r="V71" s="463">
        <f>U71+R71</f>
        <v>0</v>
      </c>
      <c r="W71" s="464">
        <f>V71*G71</f>
        <v>0</v>
      </c>
      <c r="X71" s="459"/>
    </row>
    <row r="72" spans="2:24" ht="15.6">
      <c r="B72" s="503" t="s">
        <v>424</v>
      </c>
      <c r="C72" s="513" t="s">
        <v>873</v>
      </c>
      <c r="D72" s="514" t="s">
        <v>878</v>
      </c>
      <c r="E72" s="514" t="s">
        <v>26</v>
      </c>
      <c r="F72" s="508"/>
      <c r="G72" s="516">
        <v>9.14</v>
      </c>
      <c r="H72" s="457">
        <f t="shared" si="105"/>
        <v>0</v>
      </c>
      <c r="I72" s="458"/>
      <c r="J72" s="463">
        <f t="shared" si="124"/>
        <v>0</v>
      </c>
      <c r="K72" s="464">
        <f t="shared" si="125"/>
        <v>0</v>
      </c>
      <c r="L72" s="473"/>
      <c r="M72" s="458"/>
      <c r="N72" s="463">
        <f t="shared" si="126"/>
        <v>0</v>
      </c>
      <c r="O72" s="464">
        <f t="shared" si="127"/>
        <v>0</v>
      </c>
      <c r="P72" s="473"/>
      <c r="Q72" s="458"/>
      <c r="R72" s="463">
        <f t="shared" si="128"/>
        <v>0</v>
      </c>
      <c r="S72" s="464">
        <f t="shared" si="129"/>
        <v>0</v>
      </c>
      <c r="T72" s="473"/>
      <c r="U72" s="458"/>
      <c r="V72" s="463">
        <f t="shared" si="130"/>
        <v>0</v>
      </c>
      <c r="W72" s="464">
        <f t="shared" si="131"/>
        <v>0</v>
      </c>
      <c r="X72" s="459"/>
    </row>
    <row r="73" spans="2:24" ht="15.6">
      <c r="B73" s="503" t="s">
        <v>424</v>
      </c>
      <c r="C73" s="513" t="s">
        <v>874</v>
      </c>
      <c r="D73" s="514" t="s">
        <v>879</v>
      </c>
      <c r="E73" s="514" t="s">
        <v>26</v>
      </c>
      <c r="F73" s="508"/>
      <c r="G73" s="516">
        <v>8.9</v>
      </c>
      <c r="H73" s="457">
        <f t="shared" si="105"/>
        <v>0</v>
      </c>
      <c r="I73" s="458"/>
      <c r="J73" s="463">
        <f t="shared" si="124"/>
        <v>0</v>
      </c>
      <c r="K73" s="464">
        <f t="shared" si="125"/>
        <v>0</v>
      </c>
      <c r="L73" s="473"/>
      <c r="M73" s="458"/>
      <c r="N73" s="463">
        <f t="shared" si="126"/>
        <v>0</v>
      </c>
      <c r="O73" s="464">
        <f t="shared" si="127"/>
        <v>0</v>
      </c>
      <c r="P73" s="473"/>
      <c r="Q73" s="458"/>
      <c r="R73" s="463">
        <f t="shared" si="128"/>
        <v>0</v>
      </c>
      <c r="S73" s="464">
        <f t="shared" si="129"/>
        <v>0</v>
      </c>
      <c r="T73" s="473"/>
      <c r="U73" s="458"/>
      <c r="V73" s="463">
        <f t="shared" si="130"/>
        <v>0</v>
      </c>
      <c r="W73" s="464">
        <f t="shared" si="131"/>
        <v>0</v>
      </c>
      <c r="X73" s="459"/>
    </row>
    <row r="74" spans="2:24" ht="15.6">
      <c r="B74" s="503" t="s">
        <v>424</v>
      </c>
      <c r="C74" s="513" t="s">
        <v>875</v>
      </c>
      <c r="D74" s="514" t="s">
        <v>880</v>
      </c>
      <c r="E74" s="514" t="s">
        <v>26</v>
      </c>
      <c r="F74" s="508"/>
      <c r="G74" s="516">
        <v>9.02</v>
      </c>
      <c r="H74" s="457">
        <f t="shared" si="105"/>
        <v>0</v>
      </c>
      <c r="I74" s="458"/>
      <c r="J74" s="463">
        <f t="shared" si="124"/>
        <v>0</v>
      </c>
      <c r="K74" s="464">
        <f t="shared" si="125"/>
        <v>0</v>
      </c>
      <c r="L74" s="473"/>
      <c r="M74" s="458"/>
      <c r="N74" s="463">
        <f t="shared" si="126"/>
        <v>0</v>
      </c>
      <c r="O74" s="464">
        <f t="shared" si="127"/>
        <v>0</v>
      </c>
      <c r="P74" s="473"/>
      <c r="Q74" s="458"/>
      <c r="R74" s="463">
        <f t="shared" si="128"/>
        <v>0</v>
      </c>
      <c r="S74" s="464">
        <f t="shared" si="129"/>
        <v>0</v>
      </c>
      <c r="T74" s="473"/>
      <c r="U74" s="458"/>
      <c r="V74" s="463">
        <f t="shared" si="130"/>
        <v>0</v>
      </c>
      <c r="W74" s="464">
        <f t="shared" si="131"/>
        <v>0</v>
      </c>
      <c r="X74" s="459"/>
    </row>
    <row r="75" spans="2:24" ht="15.6">
      <c r="B75" s="503" t="s">
        <v>424</v>
      </c>
      <c r="C75" s="513" t="s">
        <v>876</v>
      </c>
      <c r="D75" s="514" t="s">
        <v>882</v>
      </c>
      <c r="E75" s="514" t="s">
        <v>26</v>
      </c>
      <c r="F75" s="508"/>
      <c r="G75" s="516">
        <v>9.8000000000000007</v>
      </c>
      <c r="H75" s="457">
        <f t="shared" si="105"/>
        <v>0</v>
      </c>
      <c r="I75" s="458"/>
      <c r="J75" s="463">
        <f t="shared" si="124"/>
        <v>0</v>
      </c>
      <c r="K75" s="464">
        <f t="shared" si="125"/>
        <v>0</v>
      </c>
      <c r="L75" s="473"/>
      <c r="M75" s="458"/>
      <c r="N75" s="463">
        <f t="shared" si="126"/>
        <v>0</v>
      </c>
      <c r="O75" s="464">
        <f t="shared" si="127"/>
        <v>0</v>
      </c>
      <c r="P75" s="473"/>
      <c r="Q75" s="458"/>
      <c r="R75" s="463">
        <f t="shared" si="128"/>
        <v>0</v>
      </c>
      <c r="S75" s="464">
        <f t="shared" si="129"/>
        <v>0</v>
      </c>
      <c r="T75" s="473"/>
      <c r="U75" s="458"/>
      <c r="V75" s="463">
        <f t="shared" si="130"/>
        <v>0</v>
      </c>
      <c r="W75" s="464">
        <f t="shared" si="131"/>
        <v>0</v>
      </c>
      <c r="X75" s="459"/>
    </row>
    <row r="76" spans="2:24" ht="15.6">
      <c r="B76" s="503" t="s">
        <v>424</v>
      </c>
      <c r="C76" s="513" t="s">
        <v>886</v>
      </c>
      <c r="D76" s="514" t="s">
        <v>885</v>
      </c>
      <c r="E76" s="514" t="s">
        <v>26</v>
      </c>
      <c r="F76" s="508"/>
      <c r="G76" s="516">
        <v>8.8000000000000007</v>
      </c>
      <c r="H76" s="457">
        <f t="shared" ref="H76" si="132">F76*G76</f>
        <v>0</v>
      </c>
      <c r="I76" s="458"/>
      <c r="J76" s="463">
        <f t="shared" ref="J76" si="133">I76+F76</f>
        <v>0</v>
      </c>
      <c r="K76" s="464">
        <f t="shared" ref="K76" si="134">J76*G76</f>
        <v>0</v>
      </c>
      <c r="L76" s="473"/>
      <c r="M76" s="458"/>
      <c r="N76" s="463">
        <f t="shared" ref="N76" si="135">M76+J76</f>
        <v>0</v>
      </c>
      <c r="O76" s="464">
        <f t="shared" ref="O76" si="136">N76*G76</f>
        <v>0</v>
      </c>
      <c r="P76" s="473"/>
      <c r="Q76" s="458"/>
      <c r="R76" s="463">
        <f t="shared" ref="R76" si="137">Q76+N76</f>
        <v>0</v>
      </c>
      <c r="S76" s="464">
        <f t="shared" ref="S76" si="138">R76*G76</f>
        <v>0</v>
      </c>
      <c r="T76" s="473"/>
      <c r="U76" s="458"/>
      <c r="V76" s="463">
        <f t="shared" ref="V76" si="139">U76+R76</f>
        <v>0</v>
      </c>
      <c r="W76" s="464">
        <f t="shared" ref="W76" si="140">V76*G76</f>
        <v>0</v>
      </c>
      <c r="X76" s="459"/>
    </row>
    <row r="77" spans="2:24" ht="15.6">
      <c r="B77" s="183" t="s">
        <v>424</v>
      </c>
      <c r="C77" s="184" t="s">
        <v>711</v>
      </c>
      <c r="D77" s="185" t="s">
        <v>385</v>
      </c>
      <c r="E77" s="185" t="s">
        <v>23</v>
      </c>
      <c r="F77" s="97"/>
      <c r="G77" s="262">
        <v>3.8</v>
      </c>
      <c r="H77" s="457">
        <f t="shared" si="0"/>
        <v>0</v>
      </c>
      <c r="I77" s="458"/>
      <c r="J77" s="463">
        <f t="shared" si="124"/>
        <v>0</v>
      </c>
      <c r="K77" s="464">
        <f t="shared" si="125"/>
        <v>0</v>
      </c>
      <c r="L77" s="473"/>
      <c r="M77" s="458"/>
      <c r="N77" s="463">
        <f t="shared" si="126"/>
        <v>0</v>
      </c>
      <c r="O77" s="464">
        <f t="shared" si="127"/>
        <v>0</v>
      </c>
      <c r="P77" s="473"/>
      <c r="Q77" s="458"/>
      <c r="R77" s="463">
        <f t="shared" si="128"/>
        <v>0</v>
      </c>
      <c r="S77" s="464">
        <f t="shared" si="129"/>
        <v>0</v>
      </c>
      <c r="T77" s="473"/>
      <c r="U77" s="458"/>
      <c r="V77" s="463">
        <f t="shared" si="130"/>
        <v>0</v>
      </c>
      <c r="W77" s="464">
        <f t="shared" si="131"/>
        <v>0</v>
      </c>
      <c r="X77" s="459"/>
    </row>
    <row r="78" spans="2:24" ht="15.6">
      <c r="B78" s="183" t="s">
        <v>424</v>
      </c>
      <c r="C78" s="184" t="s">
        <v>397</v>
      </c>
      <c r="D78" s="185" t="s">
        <v>386</v>
      </c>
      <c r="E78" s="185" t="s">
        <v>26</v>
      </c>
      <c r="F78" s="97"/>
      <c r="G78" s="262">
        <v>0.83</v>
      </c>
      <c r="H78" s="457">
        <f t="shared" si="0"/>
        <v>0</v>
      </c>
      <c r="I78" s="458"/>
      <c r="J78" s="463">
        <f t="shared" si="124"/>
        <v>0</v>
      </c>
      <c r="K78" s="464">
        <f t="shared" si="125"/>
        <v>0</v>
      </c>
      <c r="L78" s="473"/>
      <c r="M78" s="458"/>
      <c r="N78" s="463">
        <f t="shared" si="126"/>
        <v>0</v>
      </c>
      <c r="O78" s="464">
        <f t="shared" si="127"/>
        <v>0</v>
      </c>
      <c r="P78" s="473"/>
      <c r="Q78" s="458"/>
      <c r="R78" s="463">
        <f t="shared" si="128"/>
        <v>0</v>
      </c>
      <c r="S78" s="464">
        <f t="shared" si="129"/>
        <v>0</v>
      </c>
      <c r="T78" s="473"/>
      <c r="U78" s="458"/>
      <c r="V78" s="463">
        <f t="shared" si="130"/>
        <v>0</v>
      </c>
      <c r="W78" s="464">
        <f t="shared" si="131"/>
        <v>0</v>
      </c>
      <c r="X78" s="459"/>
    </row>
    <row r="79" spans="2:24" ht="15.6">
      <c r="B79" s="183" t="s">
        <v>424</v>
      </c>
      <c r="C79" s="184" t="s">
        <v>398</v>
      </c>
      <c r="D79" s="185" t="s">
        <v>387</v>
      </c>
      <c r="E79" s="185" t="s">
        <v>26</v>
      </c>
      <c r="F79" s="97"/>
      <c r="G79" s="262">
        <v>12.3</v>
      </c>
      <c r="H79" s="457">
        <f t="shared" si="0"/>
        <v>0</v>
      </c>
      <c r="I79" s="458"/>
      <c r="J79" s="463">
        <f t="shared" si="124"/>
        <v>0</v>
      </c>
      <c r="K79" s="464">
        <f t="shared" si="125"/>
        <v>0</v>
      </c>
      <c r="L79" s="473"/>
      <c r="M79" s="458"/>
      <c r="N79" s="463">
        <f t="shared" si="126"/>
        <v>0</v>
      </c>
      <c r="O79" s="464">
        <f t="shared" si="127"/>
        <v>0</v>
      </c>
      <c r="P79" s="473"/>
      <c r="Q79" s="458"/>
      <c r="R79" s="463">
        <f t="shared" si="128"/>
        <v>0</v>
      </c>
      <c r="S79" s="464">
        <f t="shared" si="129"/>
        <v>0</v>
      </c>
      <c r="T79" s="473"/>
      <c r="U79" s="458"/>
      <c r="V79" s="463">
        <f t="shared" si="130"/>
        <v>0</v>
      </c>
      <c r="W79" s="464">
        <f t="shared" si="131"/>
        <v>0</v>
      </c>
      <c r="X79" s="459"/>
    </row>
    <row r="80" spans="2:24" ht="15.6">
      <c r="B80" s="183" t="s">
        <v>424</v>
      </c>
      <c r="C80" s="184" t="s">
        <v>399</v>
      </c>
      <c r="D80" s="185" t="s">
        <v>388</v>
      </c>
      <c r="E80" s="185" t="s">
        <v>26</v>
      </c>
      <c r="F80" s="97"/>
      <c r="G80" s="262">
        <v>4.84</v>
      </c>
      <c r="H80" s="457">
        <f t="shared" si="0"/>
        <v>0</v>
      </c>
      <c r="I80" s="458"/>
      <c r="J80" s="463">
        <f t="shared" si="124"/>
        <v>0</v>
      </c>
      <c r="K80" s="464">
        <f t="shared" si="125"/>
        <v>0</v>
      </c>
      <c r="L80" s="473"/>
      <c r="M80" s="458"/>
      <c r="N80" s="463">
        <f t="shared" si="126"/>
        <v>0</v>
      </c>
      <c r="O80" s="464">
        <f t="shared" si="127"/>
        <v>0</v>
      </c>
      <c r="P80" s="473"/>
      <c r="Q80" s="458"/>
      <c r="R80" s="463">
        <f t="shared" si="128"/>
        <v>0</v>
      </c>
      <c r="S80" s="464">
        <f t="shared" si="129"/>
        <v>0</v>
      </c>
      <c r="T80" s="473"/>
      <c r="U80" s="458"/>
      <c r="V80" s="463">
        <f t="shared" si="130"/>
        <v>0</v>
      </c>
      <c r="W80" s="464">
        <f t="shared" si="131"/>
        <v>0</v>
      </c>
      <c r="X80" s="459"/>
    </row>
    <row r="81" spans="2:24" ht="15.6">
      <c r="B81" s="183" t="s">
        <v>424</v>
      </c>
      <c r="C81" s="184" t="s">
        <v>400</v>
      </c>
      <c r="D81" s="185" t="s">
        <v>389</v>
      </c>
      <c r="E81" s="185" t="s">
        <v>26</v>
      </c>
      <c r="F81" s="97"/>
      <c r="G81" s="262">
        <v>1.84</v>
      </c>
      <c r="H81" s="457">
        <f t="shared" si="0"/>
        <v>0</v>
      </c>
      <c r="I81" s="458"/>
      <c r="J81" s="463">
        <f t="shared" si="1"/>
        <v>0</v>
      </c>
      <c r="K81" s="464">
        <f t="shared" si="2"/>
        <v>0</v>
      </c>
      <c r="L81" s="473"/>
      <c r="M81" s="458"/>
      <c r="N81" s="463">
        <f t="shared" si="3"/>
        <v>0</v>
      </c>
      <c r="O81" s="464">
        <f t="shared" si="4"/>
        <v>0</v>
      </c>
      <c r="P81" s="473"/>
      <c r="Q81" s="458"/>
      <c r="R81" s="463">
        <f t="shared" si="5"/>
        <v>0</v>
      </c>
      <c r="S81" s="464">
        <f t="shared" si="6"/>
        <v>0</v>
      </c>
      <c r="T81" s="473"/>
      <c r="U81" s="458"/>
      <c r="V81" s="463">
        <f t="shared" si="7"/>
        <v>0</v>
      </c>
      <c r="W81" s="464">
        <f t="shared" si="8"/>
        <v>0</v>
      </c>
      <c r="X81" s="459"/>
    </row>
    <row r="82" spans="2:24" ht="15.6">
      <c r="B82" s="183" t="s">
        <v>424</v>
      </c>
      <c r="C82" s="184" t="s">
        <v>708</v>
      </c>
      <c r="D82" s="185" t="s">
        <v>390</v>
      </c>
      <c r="E82" s="185" t="s">
        <v>26</v>
      </c>
      <c r="F82" s="97"/>
      <c r="G82" s="262">
        <v>1.1100000000000001</v>
      </c>
      <c r="H82" s="457">
        <f t="shared" si="0"/>
        <v>0</v>
      </c>
      <c r="I82" s="458"/>
      <c r="J82" s="463">
        <f t="shared" si="1"/>
        <v>0</v>
      </c>
      <c r="K82" s="464">
        <f t="shared" si="2"/>
        <v>0</v>
      </c>
      <c r="L82" s="473"/>
      <c r="M82" s="458"/>
      <c r="N82" s="463">
        <f t="shared" si="3"/>
        <v>0</v>
      </c>
      <c r="O82" s="464">
        <f t="shared" si="4"/>
        <v>0</v>
      </c>
      <c r="P82" s="473"/>
      <c r="Q82" s="458"/>
      <c r="R82" s="463">
        <f t="shared" si="5"/>
        <v>0</v>
      </c>
      <c r="S82" s="464">
        <f t="shared" si="6"/>
        <v>0</v>
      </c>
      <c r="T82" s="473"/>
      <c r="U82" s="458"/>
      <c r="V82" s="463">
        <f t="shared" si="7"/>
        <v>0</v>
      </c>
      <c r="W82" s="464">
        <f t="shared" si="8"/>
        <v>0</v>
      </c>
      <c r="X82" s="459"/>
    </row>
    <row r="83" spans="2:24" ht="15.6">
      <c r="B83" s="183" t="s">
        <v>424</v>
      </c>
      <c r="C83" s="184" t="s">
        <v>401</v>
      </c>
      <c r="D83" s="185" t="s">
        <v>391</v>
      </c>
      <c r="E83" s="185" t="s">
        <v>23</v>
      </c>
      <c r="F83" s="321">
        <f>'ROUTE INFO'!F55</f>
        <v>0</v>
      </c>
      <c r="G83" s="262">
        <v>5.96</v>
      </c>
      <c r="H83" s="457">
        <f t="shared" si="0"/>
        <v>0</v>
      </c>
      <c r="I83" s="458"/>
      <c r="J83" s="463">
        <f t="shared" si="1"/>
        <v>0</v>
      </c>
      <c r="K83" s="464">
        <f t="shared" si="2"/>
        <v>0</v>
      </c>
      <c r="L83" s="473"/>
      <c r="M83" s="458"/>
      <c r="N83" s="463">
        <f t="shared" si="3"/>
        <v>0</v>
      </c>
      <c r="O83" s="464">
        <f t="shared" si="4"/>
        <v>0</v>
      </c>
      <c r="P83" s="473"/>
      <c r="Q83" s="458"/>
      <c r="R83" s="463">
        <f t="shared" si="5"/>
        <v>0</v>
      </c>
      <c r="S83" s="464">
        <f t="shared" si="6"/>
        <v>0</v>
      </c>
      <c r="T83" s="473"/>
      <c r="U83" s="458"/>
      <c r="V83" s="463">
        <f t="shared" si="7"/>
        <v>0</v>
      </c>
      <c r="W83" s="464">
        <f t="shared" si="8"/>
        <v>0</v>
      </c>
      <c r="X83" s="459"/>
    </row>
    <row r="84" spans="2:24" ht="15.6">
      <c r="B84" s="183" t="s">
        <v>424</v>
      </c>
      <c r="C84" s="184" t="s">
        <v>402</v>
      </c>
      <c r="D84" s="185" t="s">
        <v>483</v>
      </c>
      <c r="E84" s="185" t="s">
        <v>23</v>
      </c>
      <c r="F84" s="97"/>
      <c r="G84" s="262">
        <v>35</v>
      </c>
      <c r="H84" s="457">
        <f t="shared" si="0"/>
        <v>0</v>
      </c>
      <c r="I84" s="458"/>
      <c r="J84" s="463">
        <f t="shared" si="1"/>
        <v>0</v>
      </c>
      <c r="K84" s="464">
        <f t="shared" si="2"/>
        <v>0</v>
      </c>
      <c r="L84" s="473"/>
      <c r="M84" s="458"/>
      <c r="N84" s="463">
        <f t="shared" si="3"/>
        <v>0</v>
      </c>
      <c r="O84" s="464">
        <f t="shared" si="4"/>
        <v>0</v>
      </c>
      <c r="P84" s="473"/>
      <c r="Q84" s="458"/>
      <c r="R84" s="463">
        <f t="shared" si="5"/>
        <v>0</v>
      </c>
      <c r="S84" s="464">
        <f t="shared" si="6"/>
        <v>0</v>
      </c>
      <c r="T84" s="473"/>
      <c r="U84" s="458"/>
      <c r="V84" s="463">
        <f t="shared" si="7"/>
        <v>0</v>
      </c>
      <c r="W84" s="464">
        <f t="shared" si="8"/>
        <v>0</v>
      </c>
      <c r="X84" s="459"/>
    </row>
    <row r="85" spans="2:24" ht="15.6">
      <c r="B85" s="183" t="s">
        <v>424</v>
      </c>
      <c r="C85" s="184" t="s">
        <v>403</v>
      </c>
      <c r="D85" s="185" t="s">
        <v>392</v>
      </c>
      <c r="E85" s="185" t="s">
        <v>26</v>
      </c>
      <c r="F85" s="97"/>
      <c r="G85" s="262">
        <v>5</v>
      </c>
      <c r="H85" s="457">
        <f t="shared" si="0"/>
        <v>0</v>
      </c>
      <c r="I85" s="458"/>
      <c r="J85" s="463">
        <f t="shared" si="1"/>
        <v>0</v>
      </c>
      <c r="K85" s="464">
        <f t="shared" si="2"/>
        <v>0</v>
      </c>
      <c r="L85" s="473"/>
      <c r="M85" s="458"/>
      <c r="N85" s="463">
        <f t="shared" si="3"/>
        <v>0</v>
      </c>
      <c r="O85" s="464">
        <f t="shared" si="4"/>
        <v>0</v>
      </c>
      <c r="P85" s="473"/>
      <c r="Q85" s="458"/>
      <c r="R85" s="463">
        <f t="shared" si="5"/>
        <v>0</v>
      </c>
      <c r="S85" s="464">
        <f t="shared" si="6"/>
        <v>0</v>
      </c>
      <c r="T85" s="473"/>
      <c r="U85" s="458"/>
      <c r="V85" s="463">
        <f t="shared" si="7"/>
        <v>0</v>
      </c>
      <c r="W85" s="464">
        <f t="shared" si="8"/>
        <v>0</v>
      </c>
      <c r="X85" s="459"/>
    </row>
    <row r="86" spans="2:24" ht="15.6">
      <c r="B86" s="183" t="s">
        <v>424</v>
      </c>
      <c r="C86" s="184" t="s">
        <v>404</v>
      </c>
      <c r="D86" s="185" t="s">
        <v>393</v>
      </c>
      <c r="E86" s="185" t="s">
        <v>26</v>
      </c>
      <c r="F86" s="97"/>
      <c r="G86" s="262">
        <v>16.36</v>
      </c>
      <c r="H86" s="457">
        <f t="shared" si="0"/>
        <v>0</v>
      </c>
      <c r="I86" s="458"/>
      <c r="J86" s="463">
        <f t="shared" si="1"/>
        <v>0</v>
      </c>
      <c r="K86" s="464">
        <f t="shared" si="2"/>
        <v>0</v>
      </c>
      <c r="L86" s="473"/>
      <c r="M86" s="458"/>
      <c r="N86" s="463">
        <f t="shared" si="3"/>
        <v>0</v>
      </c>
      <c r="O86" s="464">
        <f t="shared" si="4"/>
        <v>0</v>
      </c>
      <c r="P86" s="473"/>
      <c r="Q86" s="458"/>
      <c r="R86" s="463">
        <f t="shared" si="5"/>
        <v>0</v>
      </c>
      <c r="S86" s="464">
        <f t="shared" si="6"/>
        <v>0</v>
      </c>
      <c r="T86" s="473"/>
      <c r="U86" s="458"/>
      <c r="V86" s="463">
        <f t="shared" si="7"/>
        <v>0</v>
      </c>
      <c r="W86" s="464">
        <f t="shared" si="8"/>
        <v>0</v>
      </c>
      <c r="X86" s="459"/>
    </row>
    <row r="87" spans="2:24" ht="15.6">
      <c r="B87" s="183" t="s">
        <v>424</v>
      </c>
      <c r="C87" s="184" t="s">
        <v>405</v>
      </c>
      <c r="D87" s="185" t="s">
        <v>394</v>
      </c>
      <c r="E87" s="185" t="s">
        <v>26</v>
      </c>
      <c r="F87" s="97"/>
      <c r="G87" s="262">
        <v>4.9000000000000004</v>
      </c>
      <c r="H87" s="457">
        <f t="shared" si="0"/>
        <v>0</v>
      </c>
      <c r="I87" s="458"/>
      <c r="J87" s="463">
        <f t="shared" si="1"/>
        <v>0</v>
      </c>
      <c r="K87" s="464">
        <f t="shared" si="2"/>
        <v>0</v>
      </c>
      <c r="L87" s="473"/>
      <c r="M87" s="458"/>
      <c r="N87" s="463">
        <f t="shared" si="3"/>
        <v>0</v>
      </c>
      <c r="O87" s="464">
        <f t="shared" si="4"/>
        <v>0</v>
      </c>
      <c r="P87" s="473"/>
      <c r="Q87" s="458"/>
      <c r="R87" s="463">
        <f t="shared" si="5"/>
        <v>0</v>
      </c>
      <c r="S87" s="464">
        <f t="shared" si="6"/>
        <v>0</v>
      </c>
      <c r="T87" s="473"/>
      <c r="U87" s="458"/>
      <c r="V87" s="463">
        <f t="shared" si="7"/>
        <v>0</v>
      </c>
      <c r="W87" s="464">
        <f t="shared" si="8"/>
        <v>0</v>
      </c>
      <c r="X87" s="459"/>
    </row>
    <row r="88" spans="2:24" ht="15.6">
      <c r="B88" s="183" t="s">
        <v>424</v>
      </c>
      <c r="C88" s="184" t="s">
        <v>406</v>
      </c>
      <c r="D88" s="185" t="s">
        <v>395</v>
      </c>
      <c r="E88" s="185" t="s">
        <v>26</v>
      </c>
      <c r="F88" s="97"/>
      <c r="G88" s="262">
        <v>13.65</v>
      </c>
      <c r="H88" s="457">
        <f>F88*G88</f>
        <v>0</v>
      </c>
      <c r="I88" s="458"/>
      <c r="J88" s="463">
        <f t="shared" si="1"/>
        <v>0</v>
      </c>
      <c r="K88" s="464">
        <f t="shared" si="2"/>
        <v>0</v>
      </c>
      <c r="L88" s="473"/>
      <c r="M88" s="458"/>
      <c r="N88" s="463">
        <f t="shared" si="3"/>
        <v>0</v>
      </c>
      <c r="O88" s="464">
        <f t="shared" si="4"/>
        <v>0</v>
      </c>
      <c r="P88" s="473"/>
      <c r="Q88" s="458"/>
      <c r="R88" s="463">
        <f t="shared" si="5"/>
        <v>0</v>
      </c>
      <c r="S88" s="464">
        <f t="shared" si="6"/>
        <v>0</v>
      </c>
      <c r="T88" s="473"/>
      <c r="U88" s="458"/>
      <c r="V88" s="463">
        <f t="shared" si="7"/>
        <v>0</v>
      </c>
      <c r="W88" s="464">
        <f t="shared" si="8"/>
        <v>0</v>
      </c>
      <c r="X88" s="459"/>
    </row>
    <row r="89" spans="2:24" ht="15.6">
      <c r="B89" s="183" t="s">
        <v>424</v>
      </c>
      <c r="C89" s="184" t="s">
        <v>407</v>
      </c>
      <c r="D89" s="185" t="s">
        <v>396</v>
      </c>
      <c r="E89" s="185" t="s">
        <v>26</v>
      </c>
      <c r="F89" s="97"/>
      <c r="G89" s="262">
        <v>9.09</v>
      </c>
      <c r="H89" s="457">
        <f t="shared" si="0"/>
        <v>0</v>
      </c>
      <c r="I89" s="458"/>
      <c r="J89" s="463">
        <f t="shared" si="1"/>
        <v>0</v>
      </c>
      <c r="K89" s="464">
        <f t="shared" si="2"/>
        <v>0</v>
      </c>
      <c r="L89" s="473"/>
      <c r="M89" s="458"/>
      <c r="N89" s="463">
        <f t="shared" si="3"/>
        <v>0</v>
      </c>
      <c r="O89" s="464">
        <f t="shared" si="4"/>
        <v>0</v>
      </c>
      <c r="P89" s="473"/>
      <c r="Q89" s="458"/>
      <c r="R89" s="463">
        <f t="shared" si="5"/>
        <v>0</v>
      </c>
      <c r="S89" s="464">
        <f t="shared" si="6"/>
        <v>0</v>
      </c>
      <c r="T89" s="473"/>
      <c r="U89" s="458"/>
      <c r="V89" s="463">
        <f t="shared" si="7"/>
        <v>0</v>
      </c>
      <c r="W89" s="464">
        <f t="shared" si="8"/>
        <v>0</v>
      </c>
      <c r="X89" s="459"/>
    </row>
    <row r="90" spans="2:24" ht="15.6">
      <c r="B90" s="183" t="s">
        <v>424</v>
      </c>
      <c r="C90" s="184" t="s">
        <v>410</v>
      </c>
      <c r="D90" s="185" t="s">
        <v>884</v>
      </c>
      <c r="E90" s="185" t="s">
        <v>26</v>
      </c>
      <c r="F90" s="97"/>
      <c r="G90" s="262">
        <v>8.09</v>
      </c>
      <c r="H90" s="457">
        <f t="shared" ref="H90" si="141">F90*G90</f>
        <v>0</v>
      </c>
      <c r="I90" s="458"/>
      <c r="J90" s="463">
        <f t="shared" ref="J90" si="142">I90+F90</f>
        <v>0</v>
      </c>
      <c r="K90" s="464">
        <f t="shared" ref="K90" si="143">J90*G90</f>
        <v>0</v>
      </c>
      <c r="L90" s="473"/>
      <c r="M90" s="458"/>
      <c r="N90" s="463">
        <f t="shared" ref="N90" si="144">M90+J90</f>
        <v>0</v>
      </c>
      <c r="O90" s="464">
        <f t="shared" ref="O90" si="145">N90*G90</f>
        <v>0</v>
      </c>
      <c r="P90" s="473"/>
      <c r="Q90" s="458"/>
      <c r="R90" s="463">
        <f t="shared" ref="R90" si="146">Q90+N90</f>
        <v>0</v>
      </c>
      <c r="S90" s="464">
        <f t="shared" ref="S90" si="147">R90*G90</f>
        <v>0</v>
      </c>
      <c r="T90" s="473"/>
      <c r="U90" s="458"/>
      <c r="V90" s="463">
        <f t="shared" ref="V90" si="148">U90+R90</f>
        <v>0</v>
      </c>
      <c r="W90" s="464">
        <f t="shared" ref="W90" si="149">V90*G90</f>
        <v>0</v>
      </c>
      <c r="X90" s="459"/>
    </row>
    <row r="91" spans="2:24" ht="15.6">
      <c r="B91" s="183" t="s">
        <v>424</v>
      </c>
      <c r="C91" s="235" t="s">
        <v>488</v>
      </c>
      <c r="D91" s="185" t="s">
        <v>476</v>
      </c>
      <c r="E91" s="185" t="s">
        <v>23</v>
      </c>
      <c r="F91" s="237"/>
      <c r="G91" s="264">
        <v>87.57</v>
      </c>
      <c r="H91" s="457">
        <f t="shared" ref="H91:H96" si="150">F91*G91</f>
        <v>0</v>
      </c>
      <c r="I91" s="458"/>
      <c r="J91" s="463">
        <f t="shared" ref="J91:J96" si="151">I91+F91</f>
        <v>0</v>
      </c>
      <c r="K91" s="464">
        <f t="shared" ref="K91:K96" si="152">J91*G91</f>
        <v>0</v>
      </c>
      <c r="L91" s="473"/>
      <c r="M91" s="458"/>
      <c r="N91" s="463">
        <f t="shared" ref="N91:N96" si="153">M91+J91</f>
        <v>0</v>
      </c>
      <c r="O91" s="464">
        <f t="shared" ref="O91:O96" si="154">N91*G91</f>
        <v>0</v>
      </c>
      <c r="P91" s="473"/>
      <c r="Q91" s="458"/>
      <c r="R91" s="463">
        <f t="shared" ref="R91:R96" si="155">Q91+N91</f>
        <v>0</v>
      </c>
      <c r="S91" s="464">
        <f t="shared" ref="S91:S96" si="156">R91*G91</f>
        <v>0</v>
      </c>
      <c r="T91" s="473"/>
      <c r="U91" s="458"/>
      <c r="V91" s="463">
        <f t="shared" ref="V91:V96" si="157">U91+R91</f>
        <v>0</v>
      </c>
      <c r="W91" s="464">
        <f t="shared" ref="W91:W96" si="158">V91*G91</f>
        <v>0</v>
      </c>
      <c r="X91" s="459"/>
    </row>
    <row r="92" spans="2:24" ht="15.6">
      <c r="B92" s="183" t="s">
        <v>424</v>
      </c>
      <c r="C92" s="235" t="s">
        <v>489</v>
      </c>
      <c r="D92" s="185" t="s">
        <v>477</v>
      </c>
      <c r="E92" s="185" t="s">
        <v>26</v>
      </c>
      <c r="F92" s="237"/>
      <c r="G92" s="264">
        <v>7.53</v>
      </c>
      <c r="H92" s="457">
        <f t="shared" si="150"/>
        <v>0</v>
      </c>
      <c r="I92" s="458"/>
      <c r="J92" s="463">
        <f t="shared" si="151"/>
        <v>0</v>
      </c>
      <c r="K92" s="464">
        <f t="shared" si="152"/>
        <v>0</v>
      </c>
      <c r="L92" s="473"/>
      <c r="M92" s="458"/>
      <c r="N92" s="463">
        <f t="shared" si="153"/>
        <v>0</v>
      </c>
      <c r="O92" s="464">
        <f t="shared" si="154"/>
        <v>0</v>
      </c>
      <c r="P92" s="473"/>
      <c r="Q92" s="458"/>
      <c r="R92" s="463">
        <f t="shared" si="155"/>
        <v>0</v>
      </c>
      <c r="S92" s="464">
        <f t="shared" si="156"/>
        <v>0</v>
      </c>
      <c r="T92" s="473"/>
      <c r="U92" s="458"/>
      <c r="V92" s="463">
        <f t="shared" si="157"/>
        <v>0</v>
      </c>
      <c r="W92" s="464">
        <f t="shared" si="158"/>
        <v>0</v>
      </c>
      <c r="X92" s="459"/>
    </row>
    <row r="93" spans="2:24" ht="15.6">
      <c r="B93" s="183" t="s">
        <v>424</v>
      </c>
      <c r="C93" s="235" t="s">
        <v>490</v>
      </c>
      <c r="D93" s="185" t="s">
        <v>478</v>
      </c>
      <c r="E93" s="185" t="s">
        <v>26</v>
      </c>
      <c r="F93" s="237"/>
      <c r="G93" s="264">
        <v>35.630000000000003</v>
      </c>
      <c r="H93" s="457">
        <f t="shared" si="150"/>
        <v>0</v>
      </c>
      <c r="I93" s="458"/>
      <c r="J93" s="463">
        <f t="shared" si="151"/>
        <v>0</v>
      </c>
      <c r="K93" s="464">
        <f t="shared" si="152"/>
        <v>0</v>
      </c>
      <c r="L93" s="473"/>
      <c r="M93" s="458"/>
      <c r="N93" s="463">
        <f t="shared" si="153"/>
        <v>0</v>
      </c>
      <c r="O93" s="464">
        <f t="shared" si="154"/>
        <v>0</v>
      </c>
      <c r="P93" s="473"/>
      <c r="Q93" s="458"/>
      <c r="R93" s="463">
        <f t="shared" si="155"/>
        <v>0</v>
      </c>
      <c r="S93" s="464">
        <f t="shared" si="156"/>
        <v>0</v>
      </c>
      <c r="T93" s="473"/>
      <c r="U93" s="458"/>
      <c r="V93" s="463">
        <f t="shared" si="157"/>
        <v>0</v>
      </c>
      <c r="W93" s="464">
        <f t="shared" si="158"/>
        <v>0</v>
      </c>
      <c r="X93" s="459"/>
    </row>
    <row r="94" spans="2:24" ht="15.6">
      <c r="B94" s="183" t="s">
        <v>424</v>
      </c>
      <c r="C94" s="235" t="s">
        <v>491</v>
      </c>
      <c r="D94" s="185" t="s">
        <v>864</v>
      </c>
      <c r="E94" s="185" t="s">
        <v>26</v>
      </c>
      <c r="F94" s="237"/>
      <c r="G94" s="264">
        <v>58.48</v>
      </c>
      <c r="H94" s="457">
        <f t="shared" si="150"/>
        <v>0</v>
      </c>
      <c r="I94" s="458"/>
      <c r="J94" s="463">
        <f t="shared" si="151"/>
        <v>0</v>
      </c>
      <c r="K94" s="464">
        <f t="shared" si="152"/>
        <v>0</v>
      </c>
      <c r="L94" s="473"/>
      <c r="M94" s="458"/>
      <c r="N94" s="463">
        <f t="shared" si="153"/>
        <v>0</v>
      </c>
      <c r="O94" s="464">
        <f t="shared" si="154"/>
        <v>0</v>
      </c>
      <c r="P94" s="473"/>
      <c r="Q94" s="458"/>
      <c r="R94" s="463">
        <f t="shared" si="155"/>
        <v>0</v>
      </c>
      <c r="S94" s="464">
        <f t="shared" si="156"/>
        <v>0</v>
      </c>
      <c r="T94" s="473"/>
      <c r="U94" s="458"/>
      <c r="V94" s="463">
        <f t="shared" si="157"/>
        <v>0</v>
      </c>
      <c r="W94" s="464">
        <f t="shared" si="158"/>
        <v>0</v>
      </c>
      <c r="X94" s="459"/>
    </row>
    <row r="95" spans="2:24" ht="15.6">
      <c r="B95" s="183" t="s">
        <v>424</v>
      </c>
      <c r="C95" s="235" t="s">
        <v>492</v>
      </c>
      <c r="D95" s="185" t="s">
        <v>865</v>
      </c>
      <c r="E95" s="185" t="s">
        <v>26</v>
      </c>
      <c r="F95" s="237"/>
      <c r="G95" s="264">
        <v>16.399999999999999</v>
      </c>
      <c r="H95" s="457">
        <f t="shared" si="150"/>
        <v>0</v>
      </c>
      <c r="I95" s="458"/>
      <c r="J95" s="463">
        <f t="shared" si="151"/>
        <v>0</v>
      </c>
      <c r="K95" s="464">
        <f t="shared" si="152"/>
        <v>0</v>
      </c>
      <c r="L95" s="473"/>
      <c r="M95" s="458"/>
      <c r="N95" s="463">
        <f t="shared" si="153"/>
        <v>0</v>
      </c>
      <c r="O95" s="464">
        <f t="shared" si="154"/>
        <v>0</v>
      </c>
      <c r="P95" s="473"/>
      <c r="Q95" s="458"/>
      <c r="R95" s="463">
        <f t="shared" si="155"/>
        <v>0</v>
      </c>
      <c r="S95" s="464">
        <f t="shared" si="156"/>
        <v>0</v>
      </c>
      <c r="T95" s="473"/>
      <c r="U95" s="458"/>
      <c r="V95" s="463">
        <f t="shared" si="157"/>
        <v>0</v>
      </c>
      <c r="W95" s="464">
        <f t="shared" si="158"/>
        <v>0</v>
      </c>
      <c r="X95" s="459"/>
    </row>
    <row r="96" spans="2:24" ht="15.6">
      <c r="B96" s="183" t="s">
        <v>424</v>
      </c>
      <c r="C96" s="235" t="s">
        <v>493</v>
      </c>
      <c r="D96" s="185" t="s">
        <v>479</v>
      </c>
      <c r="E96" s="185" t="s">
        <v>26</v>
      </c>
      <c r="F96" s="237"/>
      <c r="G96" s="264">
        <v>9.5500000000000007</v>
      </c>
      <c r="H96" s="457">
        <f t="shared" si="150"/>
        <v>0</v>
      </c>
      <c r="I96" s="458"/>
      <c r="J96" s="463">
        <f t="shared" si="151"/>
        <v>0</v>
      </c>
      <c r="K96" s="464">
        <f t="shared" si="152"/>
        <v>0</v>
      </c>
      <c r="L96" s="473"/>
      <c r="M96" s="458"/>
      <c r="N96" s="463">
        <f t="shared" si="153"/>
        <v>0</v>
      </c>
      <c r="O96" s="464">
        <f t="shared" si="154"/>
        <v>0</v>
      </c>
      <c r="P96" s="473"/>
      <c r="Q96" s="458"/>
      <c r="R96" s="463">
        <f t="shared" si="155"/>
        <v>0</v>
      </c>
      <c r="S96" s="464">
        <f t="shared" si="156"/>
        <v>0</v>
      </c>
      <c r="T96" s="473"/>
      <c r="U96" s="458"/>
      <c r="V96" s="463">
        <f t="shared" si="157"/>
        <v>0</v>
      </c>
      <c r="W96" s="464">
        <f t="shared" si="158"/>
        <v>0</v>
      </c>
      <c r="X96" s="459"/>
    </row>
    <row r="97" spans="2:24" ht="15.6">
      <c r="B97" s="183" t="s">
        <v>424</v>
      </c>
      <c r="C97" s="235" t="s">
        <v>494</v>
      </c>
      <c r="D97" s="185" t="s">
        <v>866</v>
      </c>
      <c r="E97" s="185" t="s">
        <v>23</v>
      </c>
      <c r="F97" s="237"/>
      <c r="G97" s="264">
        <v>22.67</v>
      </c>
      <c r="H97" s="457">
        <f t="shared" ref="H97:H106" si="159">F97*G97</f>
        <v>0</v>
      </c>
      <c r="I97" s="458"/>
      <c r="J97" s="463">
        <f t="shared" ref="J97:J106" si="160">I97+F97</f>
        <v>0</v>
      </c>
      <c r="K97" s="464">
        <f t="shared" ref="K97:K106" si="161">J97*G97</f>
        <v>0</v>
      </c>
      <c r="L97" s="473"/>
      <c r="M97" s="458"/>
      <c r="N97" s="463">
        <f t="shared" ref="N97:N106" si="162">M97+J97</f>
        <v>0</v>
      </c>
      <c r="O97" s="464">
        <f t="shared" ref="O97:O106" si="163">N97*G97</f>
        <v>0</v>
      </c>
      <c r="P97" s="473"/>
      <c r="Q97" s="458"/>
      <c r="R97" s="463">
        <f t="shared" ref="R97:R106" si="164">Q97+N97</f>
        <v>0</v>
      </c>
      <c r="S97" s="464">
        <f t="shared" ref="S97:S106" si="165">R97*G97</f>
        <v>0</v>
      </c>
      <c r="T97" s="473"/>
      <c r="U97" s="458"/>
      <c r="V97" s="463">
        <f t="shared" ref="V97:V106" si="166">U97+R97</f>
        <v>0</v>
      </c>
      <c r="W97" s="464">
        <f t="shared" ref="W97:W106" si="167">V97*G97</f>
        <v>0</v>
      </c>
      <c r="X97" s="459"/>
    </row>
    <row r="98" spans="2:24" ht="15.6">
      <c r="B98" s="183" t="s">
        <v>424</v>
      </c>
      <c r="C98" s="513" t="s">
        <v>888</v>
      </c>
      <c r="D98" s="185" t="s">
        <v>867</v>
      </c>
      <c r="E98" s="185" t="s">
        <v>23</v>
      </c>
      <c r="F98" s="237"/>
      <c r="G98" s="264">
        <v>63.15</v>
      </c>
      <c r="H98" s="457">
        <f t="shared" si="159"/>
        <v>0</v>
      </c>
      <c r="I98" s="458"/>
      <c r="J98" s="463">
        <f t="shared" si="160"/>
        <v>0</v>
      </c>
      <c r="K98" s="464">
        <f t="shared" si="161"/>
        <v>0</v>
      </c>
      <c r="L98" s="473"/>
      <c r="M98" s="458"/>
      <c r="N98" s="463">
        <f t="shared" si="162"/>
        <v>0</v>
      </c>
      <c r="O98" s="464">
        <f t="shared" si="163"/>
        <v>0</v>
      </c>
      <c r="P98" s="473"/>
      <c r="Q98" s="458"/>
      <c r="R98" s="463">
        <f t="shared" si="164"/>
        <v>0</v>
      </c>
      <c r="S98" s="464">
        <f t="shared" si="165"/>
        <v>0</v>
      </c>
      <c r="T98" s="473"/>
      <c r="U98" s="458"/>
      <c r="V98" s="463">
        <f t="shared" si="166"/>
        <v>0</v>
      </c>
      <c r="W98" s="464">
        <f t="shared" si="167"/>
        <v>0</v>
      </c>
      <c r="X98" s="459"/>
    </row>
    <row r="99" spans="2:24" ht="15.6">
      <c r="B99" s="183" t="s">
        <v>424</v>
      </c>
      <c r="C99" s="513" t="s">
        <v>889</v>
      </c>
      <c r="D99" s="185" t="s">
        <v>897</v>
      </c>
      <c r="E99" s="185" t="s">
        <v>26</v>
      </c>
      <c r="F99" s="237"/>
      <c r="G99" s="264">
        <v>50.73</v>
      </c>
      <c r="H99" s="457">
        <f t="shared" si="159"/>
        <v>0</v>
      </c>
      <c r="I99" s="458"/>
      <c r="J99" s="463">
        <f t="shared" si="160"/>
        <v>0</v>
      </c>
      <c r="K99" s="464">
        <f t="shared" si="161"/>
        <v>0</v>
      </c>
      <c r="L99" s="473"/>
      <c r="M99" s="458"/>
      <c r="N99" s="463">
        <f t="shared" si="162"/>
        <v>0</v>
      </c>
      <c r="O99" s="464">
        <f t="shared" si="163"/>
        <v>0</v>
      </c>
      <c r="P99" s="473"/>
      <c r="Q99" s="458"/>
      <c r="R99" s="463">
        <f t="shared" si="164"/>
        <v>0</v>
      </c>
      <c r="S99" s="464">
        <f t="shared" si="165"/>
        <v>0</v>
      </c>
      <c r="T99" s="473"/>
      <c r="U99" s="458"/>
      <c r="V99" s="463">
        <f t="shared" si="166"/>
        <v>0</v>
      </c>
      <c r="W99" s="464">
        <f t="shared" si="167"/>
        <v>0</v>
      </c>
      <c r="X99" s="459"/>
    </row>
    <row r="100" spans="2:24" ht="15.6">
      <c r="B100" s="183" t="s">
        <v>424</v>
      </c>
      <c r="C100" s="513" t="s">
        <v>890</v>
      </c>
      <c r="D100" s="185" t="s">
        <v>896</v>
      </c>
      <c r="E100" s="185" t="s">
        <v>26</v>
      </c>
      <c r="F100" s="237"/>
      <c r="G100" s="264">
        <v>60</v>
      </c>
      <c r="H100" s="457">
        <f t="shared" si="159"/>
        <v>0</v>
      </c>
      <c r="I100" s="458"/>
      <c r="J100" s="463">
        <f t="shared" si="160"/>
        <v>0</v>
      </c>
      <c r="K100" s="464">
        <f t="shared" si="161"/>
        <v>0</v>
      </c>
      <c r="L100" s="473"/>
      <c r="M100" s="458"/>
      <c r="N100" s="463">
        <f t="shared" si="162"/>
        <v>0</v>
      </c>
      <c r="O100" s="464">
        <f t="shared" si="163"/>
        <v>0</v>
      </c>
      <c r="P100" s="473"/>
      <c r="Q100" s="458"/>
      <c r="R100" s="463">
        <f t="shared" si="164"/>
        <v>0</v>
      </c>
      <c r="S100" s="464">
        <f t="shared" si="165"/>
        <v>0</v>
      </c>
      <c r="T100" s="473"/>
      <c r="U100" s="458"/>
      <c r="V100" s="463">
        <f t="shared" si="166"/>
        <v>0</v>
      </c>
      <c r="W100" s="464">
        <f t="shared" si="167"/>
        <v>0</v>
      </c>
      <c r="X100" s="459"/>
    </row>
    <row r="101" spans="2:24" ht="15.6">
      <c r="B101" s="183" t="s">
        <v>424</v>
      </c>
      <c r="C101" s="513" t="s">
        <v>891</v>
      </c>
      <c r="D101" s="185" t="s">
        <v>895</v>
      </c>
      <c r="E101" s="185" t="s">
        <v>26</v>
      </c>
      <c r="F101" s="237"/>
      <c r="G101" s="264">
        <v>635</v>
      </c>
      <c r="H101" s="457">
        <f t="shared" si="159"/>
        <v>0</v>
      </c>
      <c r="I101" s="458"/>
      <c r="J101" s="463">
        <f t="shared" si="160"/>
        <v>0</v>
      </c>
      <c r="K101" s="464">
        <f t="shared" si="161"/>
        <v>0</v>
      </c>
      <c r="L101" s="473"/>
      <c r="M101" s="458"/>
      <c r="N101" s="463">
        <f t="shared" si="162"/>
        <v>0</v>
      </c>
      <c r="O101" s="464">
        <f t="shared" si="163"/>
        <v>0</v>
      </c>
      <c r="P101" s="473"/>
      <c r="Q101" s="458"/>
      <c r="R101" s="463">
        <f t="shared" si="164"/>
        <v>0</v>
      </c>
      <c r="S101" s="464">
        <f t="shared" si="165"/>
        <v>0</v>
      </c>
      <c r="T101" s="473"/>
      <c r="U101" s="458"/>
      <c r="V101" s="463">
        <f t="shared" si="166"/>
        <v>0</v>
      </c>
      <c r="W101" s="464">
        <f t="shared" si="167"/>
        <v>0</v>
      </c>
      <c r="X101" s="459"/>
    </row>
    <row r="102" spans="2:24" ht="15.6">
      <c r="B102" s="183" t="s">
        <v>424</v>
      </c>
      <c r="C102" s="513" t="s">
        <v>892</v>
      </c>
      <c r="D102" s="185" t="s">
        <v>898</v>
      </c>
      <c r="E102" s="185" t="s">
        <v>26</v>
      </c>
      <c r="F102" s="237"/>
      <c r="G102" s="264">
        <v>110</v>
      </c>
      <c r="H102" s="457">
        <f t="shared" si="159"/>
        <v>0</v>
      </c>
      <c r="I102" s="458"/>
      <c r="J102" s="463">
        <f t="shared" si="160"/>
        <v>0</v>
      </c>
      <c r="K102" s="464">
        <f t="shared" si="161"/>
        <v>0</v>
      </c>
      <c r="L102" s="473"/>
      <c r="M102" s="458"/>
      <c r="N102" s="463">
        <f t="shared" si="162"/>
        <v>0</v>
      </c>
      <c r="O102" s="464">
        <f t="shared" si="163"/>
        <v>0</v>
      </c>
      <c r="P102" s="473"/>
      <c r="Q102" s="458"/>
      <c r="R102" s="463">
        <f t="shared" si="164"/>
        <v>0</v>
      </c>
      <c r="S102" s="464">
        <f t="shared" si="165"/>
        <v>0</v>
      </c>
      <c r="T102" s="473"/>
      <c r="U102" s="458"/>
      <c r="V102" s="463">
        <f t="shared" si="166"/>
        <v>0</v>
      </c>
      <c r="W102" s="464">
        <f t="shared" si="167"/>
        <v>0</v>
      </c>
      <c r="X102" s="459"/>
    </row>
    <row r="103" spans="2:24" ht="15.6">
      <c r="B103" s="183" t="s">
        <v>424</v>
      </c>
      <c r="C103" s="513" t="s">
        <v>893</v>
      </c>
      <c r="D103" s="185" t="s">
        <v>868</v>
      </c>
      <c r="E103" s="185" t="s">
        <v>26</v>
      </c>
      <c r="F103" s="237"/>
      <c r="G103" s="264">
        <v>3</v>
      </c>
      <c r="H103" s="457">
        <f t="shared" si="159"/>
        <v>0</v>
      </c>
      <c r="I103" s="458"/>
      <c r="J103" s="463">
        <f t="shared" si="160"/>
        <v>0</v>
      </c>
      <c r="K103" s="464">
        <f t="shared" si="161"/>
        <v>0</v>
      </c>
      <c r="L103" s="473"/>
      <c r="M103" s="458"/>
      <c r="N103" s="463">
        <f t="shared" si="162"/>
        <v>0</v>
      </c>
      <c r="O103" s="464">
        <f t="shared" si="163"/>
        <v>0</v>
      </c>
      <c r="P103" s="473"/>
      <c r="Q103" s="458"/>
      <c r="R103" s="463">
        <f t="shared" si="164"/>
        <v>0</v>
      </c>
      <c r="S103" s="464">
        <f t="shared" si="165"/>
        <v>0</v>
      </c>
      <c r="T103" s="473"/>
      <c r="U103" s="458"/>
      <c r="V103" s="463">
        <f t="shared" si="166"/>
        <v>0</v>
      </c>
      <c r="W103" s="464">
        <f t="shared" si="167"/>
        <v>0</v>
      </c>
      <c r="X103" s="459"/>
    </row>
    <row r="104" spans="2:24" ht="15.6">
      <c r="B104" s="183" t="s">
        <v>424</v>
      </c>
      <c r="C104" s="513" t="s">
        <v>894</v>
      </c>
      <c r="D104" s="185" t="s">
        <v>869</v>
      </c>
      <c r="E104" s="185" t="s">
        <v>23</v>
      </c>
      <c r="F104" s="237"/>
      <c r="G104" s="264">
        <v>385.25</v>
      </c>
      <c r="H104" s="457">
        <f t="shared" si="159"/>
        <v>0</v>
      </c>
      <c r="I104" s="458"/>
      <c r="J104" s="463">
        <f t="shared" si="160"/>
        <v>0</v>
      </c>
      <c r="K104" s="464">
        <f t="shared" si="161"/>
        <v>0</v>
      </c>
      <c r="L104" s="473"/>
      <c r="M104" s="458"/>
      <c r="N104" s="463">
        <f t="shared" si="162"/>
        <v>0</v>
      </c>
      <c r="O104" s="464">
        <f t="shared" si="163"/>
        <v>0</v>
      </c>
      <c r="P104" s="473"/>
      <c r="Q104" s="458"/>
      <c r="R104" s="463">
        <f t="shared" si="164"/>
        <v>0</v>
      </c>
      <c r="S104" s="464">
        <f t="shared" si="165"/>
        <v>0</v>
      </c>
      <c r="T104" s="473"/>
      <c r="U104" s="458"/>
      <c r="V104" s="463">
        <f t="shared" si="166"/>
        <v>0</v>
      </c>
      <c r="W104" s="464">
        <f t="shared" si="167"/>
        <v>0</v>
      </c>
      <c r="X104" s="459"/>
    </row>
    <row r="105" spans="2:24" ht="15.6">
      <c r="B105" s="451" t="s">
        <v>831</v>
      </c>
      <c r="C105" s="235" t="s">
        <v>833</v>
      </c>
      <c r="D105" s="454" t="s">
        <v>829</v>
      </c>
      <c r="E105" s="185" t="s">
        <v>26</v>
      </c>
      <c r="F105" s="321">
        <f>'ROUTE INFO'!F18+'ROUTE INFO'!F20+'ROUTE INFO'!F22+'ROUTE INFO'!F24</f>
        <v>0</v>
      </c>
      <c r="G105" s="264">
        <v>781.2</v>
      </c>
      <c r="H105" s="457">
        <f t="shared" si="159"/>
        <v>0</v>
      </c>
      <c r="I105" s="458"/>
      <c r="J105" s="463">
        <f t="shared" si="160"/>
        <v>0</v>
      </c>
      <c r="K105" s="464">
        <f t="shared" si="161"/>
        <v>0</v>
      </c>
      <c r="L105" s="473"/>
      <c r="M105" s="458"/>
      <c r="N105" s="463">
        <f t="shared" si="162"/>
        <v>0</v>
      </c>
      <c r="O105" s="464">
        <f t="shared" si="163"/>
        <v>0</v>
      </c>
      <c r="P105" s="473"/>
      <c r="Q105" s="458"/>
      <c r="R105" s="463">
        <f t="shared" si="164"/>
        <v>0</v>
      </c>
      <c r="S105" s="464">
        <f t="shared" si="165"/>
        <v>0</v>
      </c>
      <c r="T105" s="473"/>
      <c r="U105" s="458"/>
      <c r="V105" s="463">
        <f t="shared" si="166"/>
        <v>0</v>
      </c>
      <c r="W105" s="464">
        <f t="shared" si="167"/>
        <v>0</v>
      </c>
      <c r="X105" s="459"/>
    </row>
    <row r="106" spans="2:24" ht="15.6">
      <c r="B106" s="451" t="s">
        <v>831</v>
      </c>
      <c r="C106" s="235" t="s">
        <v>834</v>
      </c>
      <c r="D106" s="454" t="s">
        <v>830</v>
      </c>
      <c r="E106" s="185" t="s">
        <v>26</v>
      </c>
      <c r="F106" s="321">
        <f>'ROUTE INFO'!F19+'ROUTE INFO'!F21+'ROUTE INFO'!F23+'ROUTE INFO'!F25</f>
        <v>0</v>
      </c>
      <c r="G106" s="264">
        <v>1484.3</v>
      </c>
      <c r="H106" s="457">
        <f t="shared" si="159"/>
        <v>0</v>
      </c>
      <c r="I106" s="458"/>
      <c r="J106" s="463">
        <f t="shared" si="160"/>
        <v>0</v>
      </c>
      <c r="K106" s="464">
        <f t="shared" si="161"/>
        <v>0</v>
      </c>
      <c r="L106" s="473"/>
      <c r="M106" s="458"/>
      <c r="N106" s="463">
        <f t="shared" si="162"/>
        <v>0</v>
      </c>
      <c r="O106" s="464">
        <f t="shared" si="163"/>
        <v>0</v>
      </c>
      <c r="P106" s="473"/>
      <c r="Q106" s="458"/>
      <c r="R106" s="463">
        <f t="shared" si="164"/>
        <v>0</v>
      </c>
      <c r="S106" s="464">
        <f t="shared" si="165"/>
        <v>0</v>
      </c>
      <c r="T106" s="473"/>
      <c r="U106" s="458"/>
      <c r="V106" s="463">
        <f t="shared" si="166"/>
        <v>0</v>
      </c>
      <c r="W106" s="464">
        <f t="shared" si="167"/>
        <v>0</v>
      </c>
      <c r="X106" s="459"/>
    </row>
    <row r="107" spans="2:24" ht="15.6">
      <c r="B107" s="451" t="s">
        <v>831</v>
      </c>
      <c r="C107" s="235" t="s">
        <v>887</v>
      </c>
      <c r="D107" s="454" t="s">
        <v>856</v>
      </c>
      <c r="E107" s="185" t="s">
        <v>26</v>
      </c>
      <c r="F107" s="495"/>
      <c r="G107" s="264">
        <v>1485.3</v>
      </c>
      <c r="H107" s="457">
        <f t="shared" ref="H107:H109" si="168">F107*G107</f>
        <v>0</v>
      </c>
      <c r="I107" s="458"/>
      <c r="J107" s="463">
        <f t="shared" ref="J107:J109" si="169">I107+F107</f>
        <v>0</v>
      </c>
      <c r="K107" s="464">
        <f t="shared" ref="K107:K109" si="170">J107*G107</f>
        <v>0</v>
      </c>
      <c r="L107" s="473"/>
      <c r="M107" s="458"/>
      <c r="N107" s="463">
        <f t="shared" ref="N107:N109" si="171">M107+J107</f>
        <v>0</v>
      </c>
      <c r="O107" s="464">
        <f t="shared" ref="O107:O109" si="172">N107*G107</f>
        <v>0</v>
      </c>
      <c r="P107" s="473"/>
      <c r="Q107" s="458"/>
      <c r="R107" s="463">
        <f t="shared" ref="R107:R109" si="173">Q107+N107</f>
        <v>0</v>
      </c>
      <c r="S107" s="464">
        <f t="shared" ref="S107:S109" si="174">R107*G107</f>
        <v>0</v>
      </c>
      <c r="T107" s="473"/>
      <c r="U107" s="458"/>
      <c r="V107" s="463">
        <f t="shared" ref="V107:V109" si="175">U107+R107</f>
        <v>0</v>
      </c>
      <c r="W107" s="464">
        <f t="shared" ref="W107:W109" si="176">V107*G107</f>
        <v>0</v>
      </c>
      <c r="X107" s="459"/>
    </row>
    <row r="108" spans="2:24" ht="15.6">
      <c r="B108" s="451" t="s">
        <v>831</v>
      </c>
      <c r="C108" s="513" t="s">
        <v>922</v>
      </c>
      <c r="D108" s="454" t="s">
        <v>920</v>
      </c>
      <c r="E108" s="185" t="s">
        <v>26</v>
      </c>
      <c r="F108" s="495"/>
      <c r="G108" s="264">
        <v>1999</v>
      </c>
      <c r="H108" s="457">
        <f t="shared" si="168"/>
        <v>0</v>
      </c>
      <c r="I108" s="458"/>
      <c r="J108" s="463">
        <f t="shared" si="169"/>
        <v>0</v>
      </c>
      <c r="K108" s="464">
        <f t="shared" si="170"/>
        <v>0</v>
      </c>
      <c r="L108" s="473"/>
      <c r="M108" s="458"/>
      <c r="N108" s="463">
        <f t="shared" si="171"/>
        <v>0</v>
      </c>
      <c r="O108" s="464">
        <f t="shared" si="172"/>
        <v>0</v>
      </c>
      <c r="P108" s="473"/>
      <c r="Q108" s="458"/>
      <c r="R108" s="463">
        <f t="shared" si="173"/>
        <v>0</v>
      </c>
      <c r="S108" s="464">
        <f t="shared" si="174"/>
        <v>0</v>
      </c>
      <c r="T108" s="473"/>
      <c r="U108" s="458"/>
      <c r="V108" s="463">
        <f t="shared" si="175"/>
        <v>0</v>
      </c>
      <c r="W108" s="464">
        <f t="shared" si="176"/>
        <v>0</v>
      </c>
      <c r="X108" s="459"/>
    </row>
    <row r="109" spans="2:24" ht="15.6">
      <c r="B109" s="451" t="s">
        <v>831</v>
      </c>
      <c r="C109" s="235" t="s">
        <v>923</v>
      </c>
      <c r="D109" s="454" t="s">
        <v>921</v>
      </c>
      <c r="E109" s="185" t="s">
        <v>26</v>
      </c>
      <c r="F109" s="495"/>
      <c r="G109" s="264">
        <v>3199</v>
      </c>
      <c r="H109" s="457">
        <f t="shared" si="168"/>
        <v>0</v>
      </c>
      <c r="I109" s="458"/>
      <c r="J109" s="463">
        <f t="shared" si="169"/>
        <v>0</v>
      </c>
      <c r="K109" s="464">
        <f t="shared" si="170"/>
        <v>0</v>
      </c>
      <c r="L109" s="473"/>
      <c r="M109" s="458"/>
      <c r="N109" s="463">
        <f t="shared" si="171"/>
        <v>0</v>
      </c>
      <c r="O109" s="464">
        <f t="shared" si="172"/>
        <v>0</v>
      </c>
      <c r="P109" s="473"/>
      <c r="Q109" s="458"/>
      <c r="R109" s="463">
        <f t="shared" si="173"/>
        <v>0</v>
      </c>
      <c r="S109" s="464">
        <f t="shared" si="174"/>
        <v>0</v>
      </c>
      <c r="T109" s="473"/>
      <c r="U109" s="458"/>
      <c r="V109" s="463">
        <f t="shared" si="175"/>
        <v>0</v>
      </c>
      <c r="W109" s="464">
        <f t="shared" si="176"/>
        <v>0</v>
      </c>
      <c r="X109" s="459"/>
    </row>
    <row r="110" spans="2:24" ht="15.6">
      <c r="B110" s="451" t="s">
        <v>831</v>
      </c>
      <c r="C110" s="235" t="s">
        <v>924</v>
      </c>
      <c r="D110" s="454" t="s">
        <v>925</v>
      </c>
      <c r="E110" s="185" t="s">
        <v>26</v>
      </c>
      <c r="F110" s="495"/>
      <c r="G110" s="264">
        <v>4999</v>
      </c>
      <c r="H110" s="457">
        <f t="shared" ref="H110" si="177">F110*G110</f>
        <v>0</v>
      </c>
      <c r="I110" s="458"/>
      <c r="J110" s="463">
        <f t="shared" ref="J110" si="178">I110+F110</f>
        <v>0</v>
      </c>
      <c r="K110" s="464">
        <f t="shared" ref="K110" si="179">J110*G110</f>
        <v>0</v>
      </c>
      <c r="L110" s="473"/>
      <c r="M110" s="458"/>
      <c r="N110" s="463">
        <f t="shared" ref="N110" si="180">M110+J110</f>
        <v>0</v>
      </c>
      <c r="O110" s="464">
        <f t="shared" ref="O110" si="181">N110*G110</f>
        <v>0</v>
      </c>
      <c r="P110" s="473"/>
      <c r="Q110" s="458"/>
      <c r="R110" s="463">
        <f t="shared" ref="R110" si="182">Q110+N110</f>
        <v>0</v>
      </c>
      <c r="S110" s="464">
        <f t="shared" ref="S110" si="183">R110*G110</f>
        <v>0</v>
      </c>
      <c r="T110" s="473"/>
      <c r="U110" s="458"/>
      <c r="V110" s="463">
        <f t="shared" ref="V110" si="184">U110+R110</f>
        <v>0</v>
      </c>
      <c r="W110" s="464">
        <f t="shared" ref="W110" si="185">V110*G110</f>
        <v>0</v>
      </c>
      <c r="X110" s="459"/>
    </row>
    <row r="111" spans="2:24" ht="15.6">
      <c r="B111" s="544" t="s">
        <v>831</v>
      </c>
      <c r="C111" s="545" t="s">
        <v>1236</v>
      </c>
      <c r="D111" s="546" t="s">
        <v>944</v>
      </c>
      <c r="E111" s="546" t="s">
        <v>26</v>
      </c>
      <c r="F111" s="547"/>
      <c r="G111" s="549"/>
      <c r="H111" s="457">
        <f t="shared" ref="H111:H114" si="186">F111*G111</f>
        <v>0</v>
      </c>
      <c r="I111" s="458"/>
      <c r="J111" s="463">
        <f t="shared" ref="J111:J114" si="187">I111+F111</f>
        <v>0</v>
      </c>
      <c r="K111" s="464">
        <f t="shared" ref="K111:K114" si="188">J111*G111</f>
        <v>0</v>
      </c>
      <c r="L111" s="473"/>
      <c r="M111" s="458"/>
      <c r="N111" s="463">
        <f t="shared" ref="N111:N114" si="189">M111+J111</f>
        <v>0</v>
      </c>
      <c r="O111" s="464">
        <f t="shared" ref="O111:O114" si="190">N111*G111</f>
        <v>0</v>
      </c>
      <c r="P111" s="473"/>
      <c r="Q111" s="458"/>
      <c r="R111" s="463">
        <f t="shared" ref="R111:R114" si="191">Q111+N111</f>
        <v>0</v>
      </c>
      <c r="S111" s="464">
        <f t="shared" ref="S111:S114" si="192">R111*G111</f>
        <v>0</v>
      </c>
      <c r="T111" s="473"/>
      <c r="U111" s="458"/>
      <c r="V111" s="463">
        <f t="shared" ref="V111:V114" si="193">U111+R111</f>
        <v>0</v>
      </c>
      <c r="W111" s="464">
        <f t="shared" ref="W111:W114" si="194">V111*G111</f>
        <v>0</v>
      </c>
      <c r="X111" s="459"/>
    </row>
    <row r="112" spans="2:24" ht="15.6">
      <c r="B112" s="544" t="s">
        <v>831</v>
      </c>
      <c r="C112" s="545" t="s">
        <v>1237</v>
      </c>
      <c r="D112" s="546" t="s">
        <v>945</v>
      </c>
      <c r="E112" s="546" t="s">
        <v>26</v>
      </c>
      <c r="F112" s="547"/>
      <c r="G112" s="549"/>
      <c r="H112" s="457">
        <f t="shared" si="186"/>
        <v>0</v>
      </c>
      <c r="I112" s="458"/>
      <c r="J112" s="463">
        <f t="shared" si="187"/>
        <v>0</v>
      </c>
      <c r="K112" s="464">
        <f t="shared" si="188"/>
        <v>0</v>
      </c>
      <c r="L112" s="473"/>
      <c r="M112" s="458"/>
      <c r="N112" s="463">
        <f t="shared" si="189"/>
        <v>0</v>
      </c>
      <c r="O112" s="464">
        <f t="shared" si="190"/>
        <v>0</v>
      </c>
      <c r="P112" s="473"/>
      <c r="Q112" s="458"/>
      <c r="R112" s="463">
        <f t="shared" si="191"/>
        <v>0</v>
      </c>
      <c r="S112" s="464">
        <f t="shared" si="192"/>
        <v>0</v>
      </c>
      <c r="T112" s="473"/>
      <c r="U112" s="458"/>
      <c r="V112" s="463">
        <f t="shared" si="193"/>
        <v>0</v>
      </c>
      <c r="W112" s="464">
        <f t="shared" si="194"/>
        <v>0</v>
      </c>
      <c r="X112" s="459"/>
    </row>
    <row r="113" spans="2:24" ht="15.6">
      <c r="B113" s="544" t="s">
        <v>831</v>
      </c>
      <c r="C113" s="545" t="s">
        <v>1238</v>
      </c>
      <c r="D113" s="546" t="s">
        <v>946</v>
      </c>
      <c r="E113" s="546" t="s">
        <v>26</v>
      </c>
      <c r="F113" s="547"/>
      <c r="G113" s="548">
        <v>4715.6000000000004</v>
      </c>
      <c r="H113" s="457">
        <f t="shared" si="186"/>
        <v>0</v>
      </c>
      <c r="I113" s="458"/>
      <c r="J113" s="463">
        <f t="shared" si="187"/>
        <v>0</v>
      </c>
      <c r="K113" s="464">
        <f t="shared" si="188"/>
        <v>0</v>
      </c>
      <c r="L113" s="473"/>
      <c r="M113" s="458"/>
      <c r="N113" s="463">
        <f t="shared" si="189"/>
        <v>0</v>
      </c>
      <c r="O113" s="464">
        <f t="shared" si="190"/>
        <v>0</v>
      </c>
      <c r="P113" s="473"/>
      <c r="Q113" s="458"/>
      <c r="R113" s="463">
        <f t="shared" si="191"/>
        <v>0</v>
      </c>
      <c r="S113" s="464">
        <f t="shared" si="192"/>
        <v>0</v>
      </c>
      <c r="T113" s="473"/>
      <c r="U113" s="458"/>
      <c r="V113" s="463">
        <f t="shared" si="193"/>
        <v>0</v>
      </c>
      <c r="W113" s="464">
        <f t="shared" si="194"/>
        <v>0</v>
      </c>
      <c r="X113" s="459"/>
    </row>
    <row r="114" spans="2:24" ht="15.6">
      <c r="B114" s="451" t="s">
        <v>832</v>
      </c>
      <c r="C114" s="235" t="s">
        <v>860</v>
      </c>
      <c r="D114" s="454" t="s">
        <v>862</v>
      </c>
      <c r="E114" s="185" t="s">
        <v>26</v>
      </c>
      <c r="F114" s="547"/>
      <c r="G114" s="264">
        <v>554.39</v>
      </c>
      <c r="H114" s="457">
        <f t="shared" si="186"/>
        <v>0</v>
      </c>
      <c r="I114" s="458"/>
      <c r="J114" s="463">
        <f t="shared" si="187"/>
        <v>0</v>
      </c>
      <c r="K114" s="464">
        <f t="shared" si="188"/>
        <v>0</v>
      </c>
      <c r="L114" s="473"/>
      <c r="M114" s="458"/>
      <c r="N114" s="463">
        <f t="shared" si="189"/>
        <v>0</v>
      </c>
      <c r="O114" s="464">
        <f t="shared" si="190"/>
        <v>0</v>
      </c>
      <c r="P114" s="473"/>
      <c r="Q114" s="458"/>
      <c r="R114" s="463">
        <f t="shared" si="191"/>
        <v>0</v>
      </c>
      <c r="S114" s="464">
        <f t="shared" si="192"/>
        <v>0</v>
      </c>
      <c r="T114" s="473"/>
      <c r="U114" s="458"/>
      <c r="V114" s="463">
        <f t="shared" si="193"/>
        <v>0</v>
      </c>
      <c r="W114" s="464">
        <f t="shared" si="194"/>
        <v>0</v>
      </c>
      <c r="X114" s="459"/>
    </row>
    <row r="115" spans="2:24" ht="15.6">
      <c r="B115" s="451" t="s">
        <v>832</v>
      </c>
      <c r="C115" s="235" t="s">
        <v>1014</v>
      </c>
      <c r="D115" s="454" t="s">
        <v>1173</v>
      </c>
      <c r="E115" s="185" t="s">
        <v>26</v>
      </c>
      <c r="F115" s="321">
        <f>'AERIAL REQUIREMENTS'!D40</f>
        <v>0</v>
      </c>
      <c r="G115" s="264">
        <v>265.14999999999998</v>
      </c>
      <c r="H115" s="457">
        <f t="shared" ref="H115" si="195">F115*G115</f>
        <v>0</v>
      </c>
      <c r="I115" s="458"/>
      <c r="J115" s="463">
        <f t="shared" ref="J115" si="196">I115+F115</f>
        <v>0</v>
      </c>
      <c r="K115" s="464">
        <f t="shared" ref="K115" si="197">J115*G115</f>
        <v>0</v>
      </c>
      <c r="L115" s="473"/>
      <c r="M115" s="458"/>
      <c r="N115" s="463">
        <f t="shared" ref="N115" si="198">M115+J115</f>
        <v>0</v>
      </c>
      <c r="O115" s="464">
        <f t="shared" ref="O115" si="199">N115*G115</f>
        <v>0</v>
      </c>
      <c r="P115" s="473"/>
      <c r="Q115" s="458"/>
      <c r="R115" s="463">
        <f t="shared" ref="R115" si="200">Q115+N115</f>
        <v>0</v>
      </c>
      <c r="S115" s="464">
        <f t="shared" ref="S115" si="201">R115*G115</f>
        <v>0</v>
      </c>
      <c r="T115" s="473"/>
      <c r="U115" s="458"/>
      <c r="V115" s="463">
        <f t="shared" ref="V115" si="202">U115+R115</f>
        <v>0</v>
      </c>
      <c r="W115" s="464">
        <f t="shared" ref="W115" si="203">V115*G115</f>
        <v>0</v>
      </c>
      <c r="X115" s="459"/>
    </row>
    <row r="116" spans="2:24" ht="15.6">
      <c r="B116" s="509" t="s">
        <v>832</v>
      </c>
      <c r="C116" s="884" t="s">
        <v>861</v>
      </c>
      <c r="D116" s="507" t="s">
        <v>863</v>
      </c>
      <c r="E116" s="185" t="s">
        <v>26</v>
      </c>
      <c r="F116" s="321">
        <f>'AERIAL REQUIREMENTS'!D41</f>
        <v>0</v>
      </c>
      <c r="G116" s="264">
        <v>139.78</v>
      </c>
      <c r="H116" s="457">
        <f t="shared" ref="H116:H128" si="204">F116*G116</f>
        <v>0</v>
      </c>
      <c r="I116" s="458"/>
      <c r="J116" s="463">
        <f t="shared" ref="J116:J128" si="205">I116+F116</f>
        <v>0</v>
      </c>
      <c r="K116" s="464">
        <f t="shared" ref="K116:K128" si="206">J116*G116</f>
        <v>0</v>
      </c>
      <c r="L116" s="473"/>
      <c r="M116" s="458"/>
      <c r="N116" s="463">
        <f t="shared" ref="N116:N128" si="207">M116+J116</f>
        <v>0</v>
      </c>
      <c r="O116" s="464">
        <f t="shared" ref="O116:O128" si="208">N116*G116</f>
        <v>0</v>
      </c>
      <c r="P116" s="473"/>
      <c r="Q116" s="458"/>
      <c r="R116" s="463">
        <f t="shared" ref="R116:R128" si="209">Q116+N116</f>
        <v>0</v>
      </c>
      <c r="S116" s="464">
        <f t="shared" ref="S116:S128" si="210">R116*G116</f>
        <v>0</v>
      </c>
      <c r="T116" s="473"/>
      <c r="U116" s="458"/>
      <c r="V116" s="463">
        <f t="shared" ref="V116:V128" si="211">U116+R116</f>
        <v>0</v>
      </c>
      <c r="W116" s="464">
        <f t="shared" ref="W116:W128" si="212">V116*G116</f>
        <v>0</v>
      </c>
      <c r="X116" s="459"/>
    </row>
    <row r="117" spans="2:24" ht="15.6">
      <c r="B117" s="509" t="s">
        <v>832</v>
      </c>
      <c r="C117" s="884" t="s">
        <v>1016</v>
      </c>
      <c r="D117" s="507" t="s">
        <v>1015</v>
      </c>
      <c r="E117" s="185" t="s">
        <v>23</v>
      </c>
      <c r="F117" s="321">
        <f>'AERIAL REQUIREMENTS'!D42</f>
        <v>0</v>
      </c>
      <c r="G117" s="264">
        <v>7.39</v>
      </c>
      <c r="H117" s="457">
        <f t="shared" ref="H117:H120" si="213">F117*G117</f>
        <v>0</v>
      </c>
      <c r="I117" s="458"/>
      <c r="J117" s="463">
        <f t="shared" ref="J117:J120" si="214">I117+F117</f>
        <v>0</v>
      </c>
      <c r="K117" s="464">
        <f t="shared" ref="K117:K120" si="215">J117*G117</f>
        <v>0</v>
      </c>
      <c r="L117" s="473"/>
      <c r="M117" s="458"/>
      <c r="N117" s="463">
        <f t="shared" ref="N117:N120" si="216">M117+J117</f>
        <v>0</v>
      </c>
      <c r="O117" s="464">
        <f t="shared" ref="O117:O120" si="217">N117*G117</f>
        <v>0</v>
      </c>
      <c r="P117" s="473"/>
      <c r="Q117" s="458"/>
      <c r="R117" s="463">
        <f t="shared" ref="R117:R120" si="218">Q117+N117</f>
        <v>0</v>
      </c>
      <c r="S117" s="464">
        <f t="shared" ref="S117:S120" si="219">R117*G117</f>
        <v>0</v>
      </c>
      <c r="T117" s="473"/>
      <c r="U117" s="458"/>
      <c r="V117" s="463">
        <f t="shared" ref="V117:V120" si="220">U117+R117</f>
        <v>0</v>
      </c>
      <c r="W117" s="464">
        <f t="shared" ref="W117:W120" si="221">V117*G117</f>
        <v>0</v>
      </c>
      <c r="X117" s="459"/>
    </row>
    <row r="118" spans="2:24" ht="15.6">
      <c r="B118" s="509" t="s">
        <v>832</v>
      </c>
      <c r="C118" s="884" t="s">
        <v>1019</v>
      </c>
      <c r="D118" s="507" t="s">
        <v>1020</v>
      </c>
      <c r="E118" s="185" t="s">
        <v>26</v>
      </c>
      <c r="F118" s="321">
        <f>'AERIAL REQUIREMENTS'!D43</f>
        <v>0</v>
      </c>
      <c r="G118" s="264">
        <v>82.7</v>
      </c>
      <c r="H118" s="457">
        <f t="shared" si="213"/>
        <v>0</v>
      </c>
      <c r="I118" s="458"/>
      <c r="J118" s="463">
        <f t="shared" si="214"/>
        <v>0</v>
      </c>
      <c r="K118" s="464">
        <f t="shared" si="215"/>
        <v>0</v>
      </c>
      <c r="L118" s="473"/>
      <c r="M118" s="458"/>
      <c r="N118" s="463">
        <f t="shared" si="216"/>
        <v>0</v>
      </c>
      <c r="O118" s="464">
        <f t="shared" si="217"/>
        <v>0</v>
      </c>
      <c r="P118" s="473"/>
      <c r="Q118" s="458"/>
      <c r="R118" s="463">
        <f t="shared" si="218"/>
        <v>0</v>
      </c>
      <c r="S118" s="464">
        <f t="shared" si="219"/>
        <v>0</v>
      </c>
      <c r="T118" s="473"/>
      <c r="U118" s="458"/>
      <c r="V118" s="463">
        <f t="shared" si="220"/>
        <v>0</v>
      </c>
      <c r="W118" s="464">
        <f t="shared" si="221"/>
        <v>0</v>
      </c>
      <c r="X118" s="459"/>
    </row>
    <row r="119" spans="2:24" ht="15.6">
      <c r="B119" s="509" t="s">
        <v>832</v>
      </c>
      <c r="C119" s="884" t="s">
        <v>1018</v>
      </c>
      <c r="D119" s="507" t="s">
        <v>1017</v>
      </c>
      <c r="E119" s="185" t="s">
        <v>26</v>
      </c>
      <c r="F119" s="321">
        <f>'AERIAL REQUIREMENTS'!D44</f>
        <v>0</v>
      </c>
      <c r="G119" s="264">
        <v>62.18</v>
      </c>
      <c r="H119" s="457">
        <f t="shared" si="213"/>
        <v>0</v>
      </c>
      <c r="I119" s="458"/>
      <c r="J119" s="463">
        <f t="shared" si="214"/>
        <v>0</v>
      </c>
      <c r="K119" s="464">
        <f t="shared" si="215"/>
        <v>0</v>
      </c>
      <c r="L119" s="473"/>
      <c r="M119" s="458"/>
      <c r="N119" s="463">
        <f t="shared" si="216"/>
        <v>0</v>
      </c>
      <c r="O119" s="464">
        <f t="shared" si="217"/>
        <v>0</v>
      </c>
      <c r="P119" s="473"/>
      <c r="Q119" s="458"/>
      <c r="R119" s="463">
        <f t="shared" si="218"/>
        <v>0</v>
      </c>
      <c r="S119" s="464">
        <f t="shared" si="219"/>
        <v>0</v>
      </c>
      <c r="T119" s="473"/>
      <c r="U119" s="458"/>
      <c r="V119" s="463">
        <f t="shared" si="220"/>
        <v>0</v>
      </c>
      <c r="W119" s="464">
        <f t="shared" si="221"/>
        <v>0</v>
      </c>
      <c r="X119" s="459"/>
    </row>
    <row r="120" spans="2:24" ht="15.6">
      <c r="B120" s="509" t="s">
        <v>832</v>
      </c>
      <c r="C120" s="884" t="s">
        <v>1040</v>
      </c>
      <c r="D120" s="507" t="s">
        <v>1042</v>
      </c>
      <c r="E120" s="185" t="s">
        <v>26</v>
      </c>
      <c r="F120" s="321">
        <f>'AERIAL REQUIREMENTS'!D45</f>
        <v>0</v>
      </c>
      <c r="G120" s="264">
        <v>17.88</v>
      </c>
      <c r="H120" s="457">
        <f t="shared" si="213"/>
        <v>0</v>
      </c>
      <c r="I120" s="458"/>
      <c r="J120" s="463">
        <f t="shared" si="214"/>
        <v>0</v>
      </c>
      <c r="K120" s="464">
        <f t="shared" si="215"/>
        <v>0</v>
      </c>
      <c r="L120" s="473"/>
      <c r="M120" s="458"/>
      <c r="N120" s="463">
        <f t="shared" si="216"/>
        <v>0</v>
      </c>
      <c r="O120" s="464">
        <f t="shared" si="217"/>
        <v>0</v>
      </c>
      <c r="P120" s="473"/>
      <c r="Q120" s="458"/>
      <c r="R120" s="463">
        <f t="shared" si="218"/>
        <v>0</v>
      </c>
      <c r="S120" s="464">
        <f t="shared" si="219"/>
        <v>0</v>
      </c>
      <c r="T120" s="473"/>
      <c r="U120" s="458"/>
      <c r="V120" s="463">
        <f t="shared" si="220"/>
        <v>0</v>
      </c>
      <c r="W120" s="464">
        <f t="shared" si="221"/>
        <v>0</v>
      </c>
      <c r="X120" s="459"/>
    </row>
    <row r="121" spans="2:24" ht="15.6">
      <c r="B121" s="509" t="s">
        <v>832</v>
      </c>
      <c r="C121" s="885" t="s">
        <v>1041</v>
      </c>
      <c r="D121" s="615" t="s">
        <v>1043</v>
      </c>
      <c r="E121" s="185" t="s">
        <v>26</v>
      </c>
      <c r="F121" s="321">
        <f>'AERIAL REQUIREMENTS'!D46</f>
        <v>0</v>
      </c>
      <c r="G121" s="612">
        <v>29.06</v>
      </c>
      <c r="H121" s="457">
        <f t="shared" ref="H121:H123" si="222">F121*G121</f>
        <v>0</v>
      </c>
      <c r="I121" s="458"/>
      <c r="J121" s="463">
        <f t="shared" ref="J121:J123" si="223">I121+F121</f>
        <v>0</v>
      </c>
      <c r="K121" s="464">
        <f t="shared" ref="K121:K123" si="224">J121*G121</f>
        <v>0</v>
      </c>
      <c r="L121" s="473"/>
      <c r="M121" s="458"/>
      <c r="N121" s="463">
        <f t="shared" ref="N121:N123" si="225">M121+J121</f>
        <v>0</v>
      </c>
      <c r="O121" s="464">
        <f t="shared" ref="O121:O123" si="226">N121*G121</f>
        <v>0</v>
      </c>
      <c r="P121" s="473"/>
      <c r="Q121" s="458"/>
      <c r="R121" s="463">
        <f t="shared" ref="R121:R123" si="227">Q121+N121</f>
        <v>0</v>
      </c>
      <c r="S121" s="464">
        <f t="shared" ref="S121:S123" si="228">R121*G121</f>
        <v>0</v>
      </c>
      <c r="T121" s="473"/>
      <c r="U121" s="458"/>
      <c r="V121" s="463">
        <f t="shared" ref="V121:V123" si="229">U121+R121</f>
        <v>0</v>
      </c>
      <c r="W121" s="464">
        <f t="shared" ref="W121:W123" si="230">V121*G121</f>
        <v>0</v>
      </c>
      <c r="X121" s="459"/>
    </row>
    <row r="122" spans="2:24" ht="15.6">
      <c r="B122" s="509" t="s">
        <v>832</v>
      </c>
      <c r="C122" s="885" t="s">
        <v>1044</v>
      </c>
      <c r="D122" s="615" t="s">
        <v>1045</v>
      </c>
      <c r="E122" s="185" t="s">
        <v>26</v>
      </c>
      <c r="F122" s="321">
        <f>'AERIAL REQUIREMENTS'!D47</f>
        <v>0</v>
      </c>
      <c r="G122" s="612">
        <v>34.78</v>
      </c>
      <c r="H122" s="613">
        <f t="shared" si="222"/>
        <v>0</v>
      </c>
      <c r="I122" s="614"/>
      <c r="J122" s="463">
        <f t="shared" ref="J122" si="231">I122+F122</f>
        <v>0</v>
      </c>
      <c r="K122" s="464">
        <f t="shared" ref="K122" si="232">J122*G122</f>
        <v>0</v>
      </c>
      <c r="L122" s="473"/>
      <c r="M122" s="458"/>
      <c r="N122" s="463">
        <f t="shared" ref="N122" si="233">M122+J122</f>
        <v>0</v>
      </c>
      <c r="O122" s="464">
        <f t="shared" ref="O122" si="234">N122*G122</f>
        <v>0</v>
      </c>
      <c r="P122" s="473"/>
      <c r="Q122" s="458"/>
      <c r="R122" s="463">
        <f t="shared" ref="R122" si="235">Q122+N122</f>
        <v>0</v>
      </c>
      <c r="S122" s="464">
        <f t="shared" ref="S122" si="236">R122*G122</f>
        <v>0</v>
      </c>
      <c r="T122" s="473"/>
      <c r="U122" s="458"/>
      <c r="V122" s="463">
        <f t="shared" ref="V122" si="237">U122+R122</f>
        <v>0</v>
      </c>
      <c r="W122" s="464">
        <f t="shared" ref="W122" si="238">V122*G122</f>
        <v>0</v>
      </c>
      <c r="X122" s="459"/>
    </row>
    <row r="123" spans="2:24" ht="15.6">
      <c r="B123" s="451" t="s">
        <v>832</v>
      </c>
      <c r="C123" s="235" t="s">
        <v>1023</v>
      </c>
      <c r="D123" s="454" t="s">
        <v>1202</v>
      </c>
      <c r="E123" s="185" t="s">
        <v>26</v>
      </c>
      <c r="F123" s="321">
        <f>'AERIAL REQUIREMENTS'!D48</f>
        <v>0</v>
      </c>
      <c r="G123" s="264">
        <v>79.94</v>
      </c>
      <c r="H123" s="457">
        <f t="shared" si="222"/>
        <v>0</v>
      </c>
      <c r="I123" s="458"/>
      <c r="J123" s="463">
        <f t="shared" si="223"/>
        <v>0</v>
      </c>
      <c r="K123" s="464">
        <f t="shared" si="224"/>
        <v>0</v>
      </c>
      <c r="L123" s="473"/>
      <c r="M123" s="458"/>
      <c r="N123" s="463">
        <f t="shared" si="225"/>
        <v>0</v>
      </c>
      <c r="O123" s="464">
        <f t="shared" si="226"/>
        <v>0</v>
      </c>
      <c r="P123" s="473"/>
      <c r="Q123" s="458"/>
      <c r="R123" s="463">
        <f t="shared" si="227"/>
        <v>0</v>
      </c>
      <c r="S123" s="464">
        <f t="shared" si="228"/>
        <v>0</v>
      </c>
      <c r="T123" s="473"/>
      <c r="U123" s="458"/>
      <c r="V123" s="463">
        <f t="shared" si="229"/>
        <v>0</v>
      </c>
      <c r="W123" s="464">
        <f t="shared" si="230"/>
        <v>0</v>
      </c>
      <c r="X123" s="459"/>
    </row>
    <row r="124" spans="2:24" ht="15.6">
      <c r="B124" s="451" t="s">
        <v>832</v>
      </c>
      <c r="C124" s="235" t="s">
        <v>1025</v>
      </c>
      <c r="D124" s="454" t="s">
        <v>1026</v>
      </c>
      <c r="E124" s="185" t="s">
        <v>26</v>
      </c>
      <c r="F124" s="321">
        <f>'AERIAL REQUIREMENTS'!D49</f>
        <v>0</v>
      </c>
      <c r="G124" s="264">
        <v>84.29</v>
      </c>
      <c r="H124" s="457">
        <f t="shared" si="204"/>
        <v>0</v>
      </c>
      <c r="I124" s="458"/>
      <c r="J124" s="463">
        <f t="shared" si="205"/>
        <v>0</v>
      </c>
      <c r="K124" s="464">
        <f t="shared" si="206"/>
        <v>0</v>
      </c>
      <c r="L124" s="473"/>
      <c r="M124" s="458"/>
      <c r="N124" s="463">
        <f t="shared" si="207"/>
        <v>0</v>
      </c>
      <c r="O124" s="464">
        <f t="shared" si="208"/>
        <v>0</v>
      </c>
      <c r="P124" s="473"/>
      <c r="Q124" s="458"/>
      <c r="R124" s="463">
        <f t="shared" si="209"/>
        <v>0</v>
      </c>
      <c r="S124" s="464">
        <f t="shared" si="210"/>
        <v>0</v>
      </c>
      <c r="T124" s="473"/>
      <c r="U124" s="458"/>
      <c r="V124" s="463">
        <f t="shared" si="211"/>
        <v>0</v>
      </c>
      <c r="W124" s="464">
        <f t="shared" si="212"/>
        <v>0</v>
      </c>
      <c r="X124" s="459"/>
    </row>
    <row r="125" spans="2:24" ht="15.6">
      <c r="B125" s="498" t="s">
        <v>832</v>
      </c>
      <c r="C125" s="235" t="s">
        <v>1027</v>
      </c>
      <c r="D125" s="454" t="s">
        <v>1028</v>
      </c>
      <c r="E125" s="185" t="s">
        <v>26</v>
      </c>
      <c r="F125" s="321">
        <f>'AERIAL REQUIREMENTS'!D50</f>
        <v>0</v>
      </c>
      <c r="G125" s="264">
        <v>109.7</v>
      </c>
      <c r="H125" s="457">
        <f t="shared" si="204"/>
        <v>0</v>
      </c>
      <c r="I125" s="458"/>
      <c r="J125" s="463">
        <f t="shared" si="205"/>
        <v>0</v>
      </c>
      <c r="K125" s="464">
        <f t="shared" si="206"/>
        <v>0</v>
      </c>
      <c r="L125" s="473"/>
      <c r="M125" s="458"/>
      <c r="N125" s="463">
        <f t="shared" si="207"/>
        <v>0</v>
      </c>
      <c r="O125" s="464">
        <f t="shared" si="208"/>
        <v>0</v>
      </c>
      <c r="P125" s="473"/>
      <c r="Q125" s="458"/>
      <c r="R125" s="463">
        <f t="shared" si="209"/>
        <v>0</v>
      </c>
      <c r="S125" s="464">
        <f t="shared" si="210"/>
        <v>0</v>
      </c>
      <c r="T125" s="473"/>
      <c r="U125" s="458"/>
      <c r="V125" s="463">
        <f t="shared" si="211"/>
        <v>0</v>
      </c>
      <c r="W125" s="464">
        <f t="shared" si="212"/>
        <v>0</v>
      </c>
      <c r="X125" s="459"/>
    </row>
    <row r="126" spans="2:24" ht="15.6">
      <c r="B126" s="451" t="s">
        <v>832</v>
      </c>
      <c r="C126" s="235" t="s">
        <v>1030</v>
      </c>
      <c r="D126" s="454" t="s">
        <v>1203</v>
      </c>
      <c r="E126" s="185" t="s">
        <v>26</v>
      </c>
      <c r="F126" s="321">
        <f>'AERIAL REQUIREMENTS'!D51</f>
        <v>0</v>
      </c>
      <c r="G126" s="264">
        <v>68.510000000000005</v>
      </c>
      <c r="H126" s="457">
        <f t="shared" si="204"/>
        <v>0</v>
      </c>
      <c r="I126" s="458"/>
      <c r="J126" s="463">
        <f t="shared" si="205"/>
        <v>0</v>
      </c>
      <c r="K126" s="464">
        <f t="shared" si="206"/>
        <v>0</v>
      </c>
      <c r="L126" s="473"/>
      <c r="M126" s="458"/>
      <c r="N126" s="463">
        <f t="shared" si="207"/>
        <v>0</v>
      </c>
      <c r="O126" s="464">
        <f t="shared" si="208"/>
        <v>0</v>
      </c>
      <c r="P126" s="473"/>
      <c r="Q126" s="458"/>
      <c r="R126" s="463">
        <f t="shared" si="209"/>
        <v>0</v>
      </c>
      <c r="S126" s="464">
        <f t="shared" si="210"/>
        <v>0</v>
      </c>
      <c r="T126" s="473"/>
      <c r="U126" s="458"/>
      <c r="V126" s="463">
        <f t="shared" si="211"/>
        <v>0</v>
      </c>
      <c r="W126" s="464">
        <f t="shared" si="212"/>
        <v>0</v>
      </c>
      <c r="X126" s="459"/>
    </row>
    <row r="127" spans="2:24" ht="15.6">
      <c r="B127" s="451" t="s">
        <v>832</v>
      </c>
      <c r="C127" s="235" t="s">
        <v>1032</v>
      </c>
      <c r="D127" s="454" t="s">
        <v>1031</v>
      </c>
      <c r="E127" s="185" t="s">
        <v>26</v>
      </c>
      <c r="F127" s="321">
        <f>'AERIAL REQUIREMENTS'!D52</f>
        <v>0</v>
      </c>
      <c r="G127" s="264">
        <v>78.430000000000007</v>
      </c>
      <c r="H127" s="457">
        <f t="shared" si="204"/>
        <v>0</v>
      </c>
      <c r="I127" s="458"/>
      <c r="J127" s="463">
        <f t="shared" si="205"/>
        <v>0</v>
      </c>
      <c r="K127" s="464">
        <f t="shared" si="206"/>
        <v>0</v>
      </c>
      <c r="L127" s="473"/>
      <c r="M127" s="458"/>
      <c r="N127" s="463">
        <f t="shared" si="207"/>
        <v>0</v>
      </c>
      <c r="O127" s="464">
        <f t="shared" si="208"/>
        <v>0</v>
      </c>
      <c r="P127" s="473"/>
      <c r="Q127" s="458"/>
      <c r="R127" s="463">
        <f t="shared" si="209"/>
        <v>0</v>
      </c>
      <c r="S127" s="464">
        <f t="shared" si="210"/>
        <v>0</v>
      </c>
      <c r="T127" s="473"/>
      <c r="U127" s="458"/>
      <c r="V127" s="463">
        <f t="shared" si="211"/>
        <v>0</v>
      </c>
      <c r="W127" s="464">
        <f t="shared" si="212"/>
        <v>0</v>
      </c>
      <c r="X127" s="459"/>
    </row>
    <row r="128" spans="2:24" ht="15.6">
      <c r="B128" s="451" t="s">
        <v>832</v>
      </c>
      <c r="C128" s="235" t="s">
        <v>1034</v>
      </c>
      <c r="D128" s="454" t="s">
        <v>1033</v>
      </c>
      <c r="E128" s="185" t="s">
        <v>26</v>
      </c>
      <c r="F128" s="321">
        <f>'AERIAL REQUIREMENTS'!D53</f>
        <v>0</v>
      </c>
      <c r="G128" s="264">
        <v>107.27</v>
      </c>
      <c r="H128" s="457">
        <f t="shared" si="204"/>
        <v>0</v>
      </c>
      <c r="I128" s="458"/>
      <c r="J128" s="463">
        <f t="shared" si="205"/>
        <v>0</v>
      </c>
      <c r="K128" s="464">
        <f t="shared" si="206"/>
        <v>0</v>
      </c>
      <c r="L128" s="473"/>
      <c r="M128" s="458"/>
      <c r="N128" s="463">
        <f t="shared" si="207"/>
        <v>0</v>
      </c>
      <c r="O128" s="464">
        <f t="shared" si="208"/>
        <v>0</v>
      </c>
      <c r="P128" s="473"/>
      <c r="Q128" s="458"/>
      <c r="R128" s="463">
        <f t="shared" si="209"/>
        <v>0</v>
      </c>
      <c r="S128" s="464">
        <f t="shared" si="210"/>
        <v>0</v>
      </c>
      <c r="T128" s="473"/>
      <c r="U128" s="458"/>
      <c r="V128" s="463">
        <f t="shared" si="211"/>
        <v>0</v>
      </c>
      <c r="W128" s="464">
        <f t="shared" si="212"/>
        <v>0</v>
      </c>
      <c r="X128" s="459"/>
    </row>
    <row r="129" spans="2:24" ht="15.6">
      <c r="B129" s="451" t="s">
        <v>832</v>
      </c>
      <c r="C129" s="610" t="s">
        <v>1035</v>
      </c>
      <c r="D129" s="611" t="s">
        <v>1047</v>
      </c>
      <c r="E129" s="185" t="s">
        <v>26</v>
      </c>
      <c r="F129" s="321">
        <f>'AERIAL REQUIREMENTS'!D54</f>
        <v>0</v>
      </c>
      <c r="G129" s="264">
        <v>136.69</v>
      </c>
      <c r="H129" s="457">
        <f t="shared" ref="H129:H131" si="239">F129*G129</f>
        <v>0</v>
      </c>
      <c r="I129" s="458"/>
      <c r="J129" s="463">
        <f t="shared" ref="J129:J131" si="240">I129+F129</f>
        <v>0</v>
      </c>
      <c r="K129" s="464">
        <f t="shared" ref="K129:K131" si="241">J129*G129</f>
        <v>0</v>
      </c>
      <c r="L129" s="473"/>
      <c r="M129" s="458"/>
      <c r="N129" s="463">
        <f t="shared" ref="N129:N131" si="242">M129+J129</f>
        <v>0</v>
      </c>
      <c r="O129" s="464">
        <f t="shared" ref="O129:O131" si="243">N129*G129</f>
        <v>0</v>
      </c>
      <c r="P129" s="473"/>
      <c r="Q129" s="458"/>
      <c r="R129" s="463">
        <f t="shared" ref="R129:R131" si="244">Q129+N129</f>
        <v>0</v>
      </c>
      <c r="S129" s="464">
        <f t="shared" ref="S129:S131" si="245">R129*G129</f>
        <v>0</v>
      </c>
      <c r="T129" s="473"/>
      <c r="U129" s="458"/>
      <c r="V129" s="463">
        <f t="shared" ref="V129:V131" si="246">U129+R129</f>
        <v>0</v>
      </c>
      <c r="W129" s="464">
        <f t="shared" ref="W129:W131" si="247">V129*G129</f>
        <v>0</v>
      </c>
      <c r="X129" s="459"/>
    </row>
    <row r="130" spans="2:24" ht="15.6">
      <c r="B130" s="451" t="s">
        <v>832</v>
      </c>
      <c r="C130" s="235" t="s">
        <v>1021</v>
      </c>
      <c r="D130" s="454" t="s">
        <v>835</v>
      </c>
      <c r="E130" s="185" t="s">
        <v>26</v>
      </c>
      <c r="F130" s="321">
        <f>'AERIAL REQUIREMENTS'!D55</f>
        <v>0</v>
      </c>
      <c r="G130" s="264">
        <v>706.03</v>
      </c>
      <c r="H130" s="457">
        <f t="shared" si="239"/>
        <v>0</v>
      </c>
      <c r="I130" s="458"/>
      <c r="J130" s="463">
        <f t="shared" si="240"/>
        <v>0</v>
      </c>
      <c r="K130" s="464">
        <f t="shared" si="241"/>
        <v>0</v>
      </c>
      <c r="L130" s="473"/>
      <c r="M130" s="458"/>
      <c r="N130" s="463">
        <f t="shared" si="242"/>
        <v>0</v>
      </c>
      <c r="O130" s="464">
        <f t="shared" si="243"/>
        <v>0</v>
      </c>
      <c r="P130" s="473"/>
      <c r="Q130" s="458"/>
      <c r="R130" s="463">
        <f t="shared" si="244"/>
        <v>0</v>
      </c>
      <c r="S130" s="464">
        <f t="shared" si="245"/>
        <v>0</v>
      </c>
      <c r="T130" s="473"/>
      <c r="U130" s="458"/>
      <c r="V130" s="463">
        <f t="shared" si="246"/>
        <v>0</v>
      </c>
      <c r="W130" s="464">
        <f t="shared" si="247"/>
        <v>0</v>
      </c>
      <c r="X130" s="459"/>
    </row>
    <row r="131" spans="2:24" ht="15.6">
      <c r="B131" s="451" t="s">
        <v>832</v>
      </c>
      <c r="C131" s="235" t="s">
        <v>1022</v>
      </c>
      <c r="D131" s="454" t="s">
        <v>857</v>
      </c>
      <c r="E131" s="185" t="s">
        <v>26</v>
      </c>
      <c r="F131" s="547"/>
      <c r="G131" s="264">
        <v>144.35</v>
      </c>
      <c r="H131" s="457">
        <f t="shared" si="239"/>
        <v>0</v>
      </c>
      <c r="I131" s="458"/>
      <c r="J131" s="463">
        <f t="shared" si="240"/>
        <v>0</v>
      </c>
      <c r="K131" s="464">
        <f t="shared" si="241"/>
        <v>0</v>
      </c>
      <c r="L131" s="473"/>
      <c r="M131" s="458"/>
      <c r="N131" s="463">
        <f t="shared" si="242"/>
        <v>0</v>
      </c>
      <c r="O131" s="464">
        <f t="shared" si="243"/>
        <v>0</v>
      </c>
      <c r="P131" s="473"/>
      <c r="Q131" s="458"/>
      <c r="R131" s="463">
        <f t="shared" si="244"/>
        <v>0</v>
      </c>
      <c r="S131" s="464">
        <f t="shared" si="245"/>
        <v>0</v>
      </c>
      <c r="T131" s="473"/>
      <c r="U131" s="458"/>
      <c r="V131" s="463">
        <f t="shared" si="246"/>
        <v>0</v>
      </c>
      <c r="W131" s="464">
        <f t="shared" si="247"/>
        <v>0</v>
      </c>
      <c r="X131" s="459"/>
    </row>
    <row r="132" spans="2:24" ht="15.6">
      <c r="B132" s="451" t="s">
        <v>832</v>
      </c>
      <c r="C132" s="235" t="s">
        <v>1037</v>
      </c>
      <c r="D132" s="454" t="s">
        <v>1036</v>
      </c>
      <c r="E132" s="185" t="s">
        <v>23</v>
      </c>
      <c r="F132" s="321">
        <f>'AERIAL REQUIREMENTS'!D56</f>
        <v>0</v>
      </c>
      <c r="G132" s="264">
        <v>27.15</v>
      </c>
      <c r="H132" s="457">
        <f t="shared" ref="H132:H133" si="248">F132*G132</f>
        <v>0</v>
      </c>
      <c r="I132" s="458"/>
      <c r="J132" s="463">
        <f t="shared" ref="J132:J133" si="249">I132+F132</f>
        <v>0</v>
      </c>
      <c r="K132" s="464">
        <f t="shared" ref="K132:K133" si="250">J132*G132</f>
        <v>0</v>
      </c>
      <c r="L132" s="473"/>
      <c r="M132" s="458"/>
      <c r="N132" s="463">
        <f t="shared" ref="N132:N133" si="251">M132+J132</f>
        <v>0</v>
      </c>
      <c r="O132" s="464">
        <f t="shared" ref="O132:O133" si="252">N132*G132</f>
        <v>0</v>
      </c>
      <c r="P132" s="473"/>
      <c r="Q132" s="458"/>
      <c r="R132" s="463">
        <f t="shared" ref="R132:R133" si="253">Q132+N132</f>
        <v>0</v>
      </c>
      <c r="S132" s="464">
        <f t="shared" ref="S132:S133" si="254">R132*G132</f>
        <v>0</v>
      </c>
      <c r="T132" s="473"/>
      <c r="U132" s="458"/>
      <c r="V132" s="463">
        <f t="shared" ref="V132:V133" si="255">U132+R132</f>
        <v>0</v>
      </c>
      <c r="W132" s="464">
        <f t="shared" ref="W132:W133" si="256">V132*G132</f>
        <v>0</v>
      </c>
      <c r="X132" s="459"/>
    </row>
    <row r="133" spans="2:24" ht="15.6">
      <c r="B133" s="451" t="s">
        <v>832</v>
      </c>
      <c r="C133" s="235" t="s">
        <v>1038</v>
      </c>
      <c r="D133" s="454" t="s">
        <v>1039</v>
      </c>
      <c r="E133" s="185" t="s">
        <v>26</v>
      </c>
      <c r="F133" s="321">
        <f>'AERIAL REQUIREMENTS'!D57</f>
        <v>0</v>
      </c>
      <c r="G133" s="264">
        <v>2.27</v>
      </c>
      <c r="H133" s="457">
        <f t="shared" si="248"/>
        <v>0</v>
      </c>
      <c r="I133" s="458"/>
      <c r="J133" s="463">
        <f t="shared" si="249"/>
        <v>0</v>
      </c>
      <c r="K133" s="464">
        <f t="shared" si="250"/>
        <v>0</v>
      </c>
      <c r="L133" s="473"/>
      <c r="M133" s="458"/>
      <c r="N133" s="463">
        <f t="shared" si="251"/>
        <v>0</v>
      </c>
      <c r="O133" s="464">
        <f t="shared" si="252"/>
        <v>0</v>
      </c>
      <c r="P133" s="473"/>
      <c r="Q133" s="458"/>
      <c r="R133" s="463">
        <f t="shared" si="253"/>
        <v>0</v>
      </c>
      <c r="S133" s="464">
        <f t="shared" si="254"/>
        <v>0</v>
      </c>
      <c r="T133" s="473"/>
      <c r="U133" s="458"/>
      <c r="V133" s="463">
        <f t="shared" si="255"/>
        <v>0</v>
      </c>
      <c r="W133" s="464">
        <f t="shared" si="256"/>
        <v>0</v>
      </c>
      <c r="X133" s="459"/>
    </row>
    <row r="134" spans="2:24" ht="15.6">
      <c r="B134" s="183" t="s">
        <v>425</v>
      </c>
      <c r="C134" s="184" t="s">
        <v>352</v>
      </c>
      <c r="D134" s="185" t="s">
        <v>353</v>
      </c>
      <c r="E134" s="185" t="s">
        <v>26</v>
      </c>
      <c r="F134" s="98"/>
      <c r="G134" s="262">
        <v>165</v>
      </c>
      <c r="H134" s="457">
        <f t="shared" si="0"/>
        <v>0</v>
      </c>
      <c r="I134" s="458"/>
      <c r="J134" s="463">
        <f t="shared" si="1"/>
        <v>0</v>
      </c>
      <c r="K134" s="464">
        <f t="shared" si="2"/>
        <v>0</v>
      </c>
      <c r="L134" s="473"/>
      <c r="M134" s="458"/>
      <c r="N134" s="463">
        <f t="shared" si="3"/>
        <v>0</v>
      </c>
      <c r="O134" s="464">
        <f t="shared" si="4"/>
        <v>0</v>
      </c>
      <c r="P134" s="473"/>
      <c r="Q134" s="458"/>
      <c r="R134" s="463">
        <f t="shared" si="5"/>
        <v>0</v>
      </c>
      <c r="S134" s="464">
        <f t="shared" si="6"/>
        <v>0</v>
      </c>
      <c r="T134" s="473"/>
      <c r="U134" s="458"/>
      <c r="V134" s="463">
        <f t="shared" si="7"/>
        <v>0</v>
      </c>
      <c r="W134" s="464">
        <f t="shared" si="8"/>
        <v>0</v>
      </c>
      <c r="X134" s="459"/>
    </row>
    <row r="135" spans="2:24" ht="15.6">
      <c r="B135" s="183" t="s">
        <v>425</v>
      </c>
      <c r="C135" s="184" t="s">
        <v>962</v>
      </c>
      <c r="D135" s="185" t="s">
        <v>408</v>
      </c>
      <c r="E135" s="185" t="s">
        <v>26</v>
      </c>
      <c r="F135" s="98"/>
      <c r="G135" s="262">
        <v>505</v>
      </c>
      <c r="H135" s="457">
        <f t="shared" si="0"/>
        <v>0</v>
      </c>
      <c r="I135" s="458"/>
      <c r="J135" s="463">
        <f t="shared" si="1"/>
        <v>0</v>
      </c>
      <c r="K135" s="464">
        <f t="shared" si="2"/>
        <v>0</v>
      </c>
      <c r="L135" s="473"/>
      <c r="M135" s="458"/>
      <c r="N135" s="463">
        <f t="shared" si="3"/>
        <v>0</v>
      </c>
      <c r="O135" s="464">
        <f t="shared" si="4"/>
        <v>0</v>
      </c>
      <c r="P135" s="473"/>
      <c r="Q135" s="458"/>
      <c r="R135" s="463">
        <f t="shared" si="5"/>
        <v>0</v>
      </c>
      <c r="S135" s="464">
        <f t="shared" si="6"/>
        <v>0</v>
      </c>
      <c r="T135" s="473"/>
      <c r="U135" s="458"/>
      <c r="V135" s="463">
        <f t="shared" si="7"/>
        <v>0</v>
      </c>
      <c r="W135" s="464">
        <f t="shared" si="8"/>
        <v>0</v>
      </c>
      <c r="X135" s="459"/>
    </row>
    <row r="136" spans="2:24" ht="15.6">
      <c r="B136" s="183" t="s">
        <v>425</v>
      </c>
      <c r="C136" s="184" t="s">
        <v>411</v>
      </c>
      <c r="D136" s="185" t="s">
        <v>409</v>
      </c>
      <c r="E136" s="185" t="s">
        <v>26</v>
      </c>
      <c r="F136" s="98"/>
      <c r="G136" s="262">
        <v>72.89</v>
      </c>
      <c r="H136" s="457">
        <f t="shared" si="0"/>
        <v>0</v>
      </c>
      <c r="I136" s="458"/>
      <c r="J136" s="463">
        <f t="shared" si="1"/>
        <v>0</v>
      </c>
      <c r="K136" s="464">
        <f t="shared" si="2"/>
        <v>0</v>
      </c>
      <c r="L136" s="473"/>
      <c r="M136" s="458"/>
      <c r="N136" s="463">
        <f t="shared" si="3"/>
        <v>0</v>
      </c>
      <c r="O136" s="464">
        <f t="shared" si="4"/>
        <v>0</v>
      </c>
      <c r="P136" s="473"/>
      <c r="Q136" s="458"/>
      <c r="R136" s="463">
        <f t="shared" si="5"/>
        <v>0</v>
      </c>
      <c r="S136" s="464">
        <f t="shared" si="6"/>
        <v>0</v>
      </c>
      <c r="T136" s="473"/>
      <c r="U136" s="458"/>
      <c r="V136" s="463">
        <f t="shared" si="7"/>
        <v>0</v>
      </c>
      <c r="W136" s="464">
        <f t="shared" si="8"/>
        <v>0</v>
      </c>
      <c r="X136" s="459"/>
    </row>
    <row r="137" spans="2:24" ht="15.6">
      <c r="B137" s="183" t="s">
        <v>426</v>
      </c>
      <c r="C137" s="184" t="s">
        <v>55</v>
      </c>
      <c r="D137" s="185" t="s">
        <v>51</v>
      </c>
      <c r="E137" s="185" t="s">
        <v>26</v>
      </c>
      <c r="F137" s="97"/>
      <c r="G137" s="262">
        <v>953.92</v>
      </c>
      <c r="H137" s="457">
        <f t="shared" si="0"/>
        <v>0</v>
      </c>
      <c r="I137" s="458"/>
      <c r="J137" s="463">
        <f t="shared" si="1"/>
        <v>0</v>
      </c>
      <c r="K137" s="464">
        <f t="shared" si="2"/>
        <v>0</v>
      </c>
      <c r="L137" s="473"/>
      <c r="M137" s="458"/>
      <c r="N137" s="463">
        <f t="shared" si="3"/>
        <v>0</v>
      </c>
      <c r="O137" s="464">
        <f t="shared" si="4"/>
        <v>0</v>
      </c>
      <c r="P137" s="473"/>
      <c r="Q137" s="458"/>
      <c r="R137" s="463">
        <f t="shared" si="5"/>
        <v>0</v>
      </c>
      <c r="S137" s="464">
        <f t="shared" si="6"/>
        <v>0</v>
      </c>
      <c r="T137" s="473"/>
      <c r="U137" s="458"/>
      <c r="V137" s="463">
        <f t="shared" si="7"/>
        <v>0</v>
      </c>
      <c r="W137" s="464">
        <f t="shared" si="8"/>
        <v>0</v>
      </c>
      <c r="X137" s="459"/>
    </row>
    <row r="138" spans="2:24" ht="15.6">
      <c r="B138" s="183" t="s">
        <v>426</v>
      </c>
      <c r="C138" s="184" t="s">
        <v>57</v>
      </c>
      <c r="D138" s="185" t="s">
        <v>52</v>
      </c>
      <c r="E138" s="185" t="s">
        <v>26</v>
      </c>
      <c r="F138" s="188">
        <f>'Infra Build BOQ'!F91+'Infra Build BOQ'!F93+'Infra Build BOQ'!F95+'Infra Build BOQ'!F92</f>
        <v>0</v>
      </c>
      <c r="G138" s="262">
        <v>1660</v>
      </c>
      <c r="H138" s="457">
        <f t="shared" si="0"/>
        <v>0</v>
      </c>
      <c r="I138" s="458"/>
      <c r="J138" s="463">
        <f t="shared" si="1"/>
        <v>0</v>
      </c>
      <c r="K138" s="464">
        <f t="shared" si="2"/>
        <v>0</v>
      </c>
      <c r="L138" s="473"/>
      <c r="M138" s="458"/>
      <c r="N138" s="463">
        <f t="shared" si="3"/>
        <v>0</v>
      </c>
      <c r="O138" s="464">
        <f t="shared" si="4"/>
        <v>0</v>
      </c>
      <c r="P138" s="473"/>
      <c r="Q138" s="458"/>
      <c r="R138" s="463">
        <f t="shared" si="5"/>
        <v>0</v>
      </c>
      <c r="S138" s="464">
        <f t="shared" si="6"/>
        <v>0</v>
      </c>
      <c r="T138" s="473"/>
      <c r="U138" s="458"/>
      <c r="V138" s="463">
        <f t="shared" si="7"/>
        <v>0</v>
      </c>
      <c r="W138" s="464">
        <f t="shared" si="8"/>
        <v>0</v>
      </c>
      <c r="X138" s="459"/>
    </row>
    <row r="139" spans="2:24" ht="15.6">
      <c r="B139" s="183" t="s">
        <v>426</v>
      </c>
      <c r="C139" s="184" t="s">
        <v>120</v>
      </c>
      <c r="D139" s="185" t="s">
        <v>53</v>
      </c>
      <c r="E139" s="185" t="s">
        <v>26</v>
      </c>
      <c r="F139" s="97"/>
      <c r="G139" s="262">
        <v>380</v>
      </c>
      <c r="H139" s="457">
        <f t="shared" si="0"/>
        <v>0</v>
      </c>
      <c r="I139" s="458"/>
      <c r="J139" s="463">
        <f t="shared" si="1"/>
        <v>0</v>
      </c>
      <c r="K139" s="464">
        <f t="shared" si="2"/>
        <v>0</v>
      </c>
      <c r="L139" s="473"/>
      <c r="M139" s="458"/>
      <c r="N139" s="463">
        <f t="shared" si="3"/>
        <v>0</v>
      </c>
      <c r="O139" s="464">
        <f t="shared" si="4"/>
        <v>0</v>
      </c>
      <c r="P139" s="473"/>
      <c r="Q139" s="458"/>
      <c r="R139" s="463">
        <f t="shared" si="5"/>
        <v>0</v>
      </c>
      <c r="S139" s="464">
        <f t="shared" si="6"/>
        <v>0</v>
      </c>
      <c r="T139" s="473"/>
      <c r="U139" s="458"/>
      <c r="V139" s="463">
        <f t="shared" si="7"/>
        <v>0</v>
      </c>
      <c r="W139" s="464">
        <f t="shared" si="8"/>
        <v>0</v>
      </c>
      <c r="X139" s="459"/>
    </row>
    <row r="140" spans="2:24" ht="15.6">
      <c r="B140" s="183" t="s">
        <v>426</v>
      </c>
      <c r="C140" s="184" t="s">
        <v>121</v>
      </c>
      <c r="D140" s="185" t="s">
        <v>54</v>
      </c>
      <c r="E140" s="185" t="s">
        <v>26</v>
      </c>
      <c r="F140" s="97"/>
      <c r="G140" s="262">
        <v>715</v>
      </c>
      <c r="H140" s="457">
        <f t="shared" si="0"/>
        <v>0</v>
      </c>
      <c r="I140" s="458"/>
      <c r="J140" s="463">
        <f t="shared" si="1"/>
        <v>0</v>
      </c>
      <c r="K140" s="464">
        <f t="shared" si="2"/>
        <v>0</v>
      </c>
      <c r="L140" s="473"/>
      <c r="M140" s="458"/>
      <c r="N140" s="463">
        <f t="shared" si="3"/>
        <v>0</v>
      </c>
      <c r="O140" s="464">
        <f t="shared" si="4"/>
        <v>0</v>
      </c>
      <c r="P140" s="473"/>
      <c r="Q140" s="458"/>
      <c r="R140" s="463">
        <f t="shared" si="5"/>
        <v>0</v>
      </c>
      <c r="S140" s="464">
        <f t="shared" si="6"/>
        <v>0</v>
      </c>
      <c r="T140" s="473"/>
      <c r="U140" s="458"/>
      <c r="V140" s="463">
        <f t="shared" si="7"/>
        <v>0</v>
      </c>
      <c r="W140" s="464">
        <f t="shared" si="8"/>
        <v>0</v>
      </c>
      <c r="X140" s="459"/>
    </row>
    <row r="141" spans="2:24" ht="15.6">
      <c r="B141" s="183" t="s">
        <v>426</v>
      </c>
      <c r="C141" s="184" t="s">
        <v>267</v>
      </c>
      <c r="D141" s="185" t="s">
        <v>412</v>
      </c>
      <c r="E141" s="185" t="s">
        <v>26</v>
      </c>
      <c r="F141" s="188">
        <f>'Infra Build BOQ'!F99</f>
        <v>0</v>
      </c>
      <c r="G141" s="262">
        <v>2200</v>
      </c>
      <c r="H141" s="457">
        <f t="shared" si="0"/>
        <v>0</v>
      </c>
      <c r="I141" s="458"/>
      <c r="J141" s="463">
        <f t="shared" si="1"/>
        <v>0</v>
      </c>
      <c r="K141" s="464">
        <f t="shared" si="2"/>
        <v>0</v>
      </c>
      <c r="L141" s="473"/>
      <c r="M141" s="458"/>
      <c r="N141" s="463">
        <f t="shared" si="3"/>
        <v>0</v>
      </c>
      <c r="O141" s="464">
        <f t="shared" si="4"/>
        <v>0</v>
      </c>
      <c r="P141" s="473"/>
      <c r="Q141" s="458"/>
      <c r="R141" s="463">
        <f t="shared" si="5"/>
        <v>0</v>
      </c>
      <c r="S141" s="464">
        <f t="shared" si="6"/>
        <v>0</v>
      </c>
      <c r="T141" s="473"/>
      <c r="U141" s="458"/>
      <c r="V141" s="463">
        <f t="shared" si="7"/>
        <v>0</v>
      </c>
      <c r="W141" s="464">
        <f t="shared" si="8"/>
        <v>0</v>
      </c>
      <c r="X141" s="459"/>
    </row>
    <row r="142" spans="2:24" ht="15.6">
      <c r="B142" s="183" t="s">
        <v>426</v>
      </c>
      <c r="C142" s="452" t="s">
        <v>816</v>
      </c>
      <c r="D142" s="454" t="s">
        <v>817</v>
      </c>
      <c r="E142" s="185" t="s">
        <v>26</v>
      </c>
      <c r="F142" s="188">
        <f>'Infra Build BOQ'!F101</f>
        <v>0</v>
      </c>
      <c r="G142" s="492">
        <v>435</v>
      </c>
      <c r="H142" s="457">
        <f t="shared" ref="H142:H144" si="257">F142*G142</f>
        <v>0</v>
      </c>
      <c r="I142" s="458"/>
      <c r="J142" s="463">
        <f t="shared" ref="J142:J144" si="258">I142+F142</f>
        <v>0</v>
      </c>
      <c r="K142" s="464">
        <f t="shared" ref="K142:K144" si="259">J142*G142</f>
        <v>0</v>
      </c>
      <c r="L142" s="473"/>
      <c r="M142" s="458"/>
      <c r="N142" s="463">
        <f t="shared" ref="N142:N144" si="260">M142+J142</f>
        <v>0</v>
      </c>
      <c r="O142" s="464">
        <f t="shared" ref="O142:O144" si="261">N142*G142</f>
        <v>0</v>
      </c>
      <c r="P142" s="473"/>
      <c r="Q142" s="458"/>
      <c r="R142" s="463">
        <f t="shared" ref="R142:R144" si="262">Q142+N142</f>
        <v>0</v>
      </c>
      <c r="S142" s="464">
        <f t="shared" ref="S142:S144" si="263">R142*G142</f>
        <v>0</v>
      </c>
      <c r="T142" s="473"/>
      <c r="U142" s="458"/>
      <c r="V142" s="463">
        <f t="shared" ref="V142:V144" si="264">U142+R142</f>
        <v>0</v>
      </c>
      <c r="W142" s="464">
        <f t="shared" ref="W142:W144" si="265">V142*G142</f>
        <v>0</v>
      </c>
      <c r="X142" s="459"/>
    </row>
    <row r="143" spans="2:24" ht="15.6">
      <c r="B143" s="183" t="s">
        <v>426</v>
      </c>
      <c r="C143" s="184" t="s">
        <v>532</v>
      </c>
      <c r="D143" s="308" t="s">
        <v>522</v>
      </c>
      <c r="E143" s="185" t="s">
        <v>26</v>
      </c>
      <c r="F143" s="188">
        <f>'Infra Build BOQ'!F102</f>
        <v>0</v>
      </c>
      <c r="G143" s="309">
        <v>198</v>
      </c>
      <c r="H143" s="457">
        <f t="shared" si="257"/>
        <v>0</v>
      </c>
      <c r="I143" s="458"/>
      <c r="J143" s="463">
        <f t="shared" si="258"/>
        <v>0</v>
      </c>
      <c r="K143" s="464">
        <f t="shared" si="259"/>
        <v>0</v>
      </c>
      <c r="L143" s="473"/>
      <c r="M143" s="458"/>
      <c r="N143" s="463">
        <f t="shared" si="260"/>
        <v>0</v>
      </c>
      <c r="O143" s="464">
        <f t="shared" si="261"/>
        <v>0</v>
      </c>
      <c r="P143" s="473"/>
      <c r="Q143" s="458"/>
      <c r="R143" s="463">
        <f t="shared" si="262"/>
        <v>0</v>
      </c>
      <c r="S143" s="464">
        <f t="shared" si="263"/>
        <v>0</v>
      </c>
      <c r="T143" s="473"/>
      <c r="U143" s="458"/>
      <c r="V143" s="463">
        <f t="shared" si="264"/>
        <v>0</v>
      </c>
      <c r="W143" s="464">
        <f t="shared" si="265"/>
        <v>0</v>
      </c>
      <c r="X143" s="459"/>
    </row>
    <row r="144" spans="2:24" ht="15.6">
      <c r="B144" s="183" t="s">
        <v>426</v>
      </c>
      <c r="C144" s="332" t="s">
        <v>630</v>
      </c>
      <c r="D144" s="333" t="s">
        <v>631</v>
      </c>
      <c r="E144" s="185" t="s">
        <v>26</v>
      </c>
      <c r="F144" s="188">
        <f>'ROUTE INFO'!F14+'ROUTE INFO'!F15</f>
        <v>0</v>
      </c>
      <c r="G144" s="309">
        <v>585</v>
      </c>
      <c r="H144" s="457">
        <f t="shared" si="257"/>
        <v>0</v>
      </c>
      <c r="I144" s="458"/>
      <c r="J144" s="463">
        <f t="shared" si="258"/>
        <v>0</v>
      </c>
      <c r="K144" s="464">
        <f t="shared" si="259"/>
        <v>0</v>
      </c>
      <c r="L144" s="473"/>
      <c r="M144" s="458"/>
      <c r="N144" s="463">
        <f t="shared" si="260"/>
        <v>0</v>
      </c>
      <c r="O144" s="464">
        <f t="shared" si="261"/>
        <v>0</v>
      </c>
      <c r="P144" s="473"/>
      <c r="Q144" s="458"/>
      <c r="R144" s="463">
        <f t="shared" si="262"/>
        <v>0</v>
      </c>
      <c r="S144" s="464">
        <f t="shared" si="263"/>
        <v>0</v>
      </c>
      <c r="T144" s="473"/>
      <c r="U144" s="458"/>
      <c r="V144" s="463">
        <f t="shared" si="264"/>
        <v>0</v>
      </c>
      <c r="W144" s="464">
        <f t="shared" si="265"/>
        <v>0</v>
      </c>
      <c r="X144" s="459"/>
    </row>
    <row r="145" spans="2:24" ht="15.6">
      <c r="B145" s="183" t="s">
        <v>426</v>
      </c>
      <c r="C145" s="332" t="s">
        <v>632</v>
      </c>
      <c r="D145" s="333" t="s">
        <v>701</v>
      </c>
      <c r="E145" s="185" t="s">
        <v>26</v>
      </c>
      <c r="F145" s="188">
        <f>'ROUTE INFO'!F15</f>
        <v>0</v>
      </c>
      <c r="G145" s="309">
        <v>290</v>
      </c>
      <c r="H145" s="457">
        <f t="shared" ref="H145:H147" si="266">F145*G145</f>
        <v>0</v>
      </c>
      <c r="I145" s="458"/>
      <c r="J145" s="463">
        <f t="shared" ref="J145:J147" si="267">I145+F145</f>
        <v>0</v>
      </c>
      <c r="K145" s="464">
        <f t="shared" ref="K145:K147" si="268">J145*G145</f>
        <v>0</v>
      </c>
      <c r="L145" s="473"/>
      <c r="M145" s="458"/>
      <c r="N145" s="463">
        <f t="shared" ref="N145:N147" si="269">M145+J145</f>
        <v>0</v>
      </c>
      <c r="O145" s="464">
        <f t="shared" ref="O145:O147" si="270">N145*G145</f>
        <v>0</v>
      </c>
      <c r="P145" s="473"/>
      <c r="Q145" s="458"/>
      <c r="R145" s="463">
        <f t="shared" ref="R145:R147" si="271">Q145+N145</f>
        <v>0</v>
      </c>
      <c r="S145" s="464">
        <f t="shared" ref="S145:S147" si="272">R145*G145</f>
        <v>0</v>
      </c>
      <c r="T145" s="473"/>
      <c r="U145" s="458"/>
      <c r="V145" s="463">
        <f t="shared" ref="V145:V147" si="273">U145+R145</f>
        <v>0</v>
      </c>
      <c r="W145" s="464">
        <f t="shared" ref="W145:W147" si="274">V145*G145</f>
        <v>0</v>
      </c>
      <c r="X145" s="459"/>
    </row>
    <row r="146" spans="2:24" ht="15.6">
      <c r="B146" s="183" t="s">
        <v>426</v>
      </c>
      <c r="C146" s="184" t="s">
        <v>533</v>
      </c>
      <c r="D146" s="308" t="s">
        <v>523</v>
      </c>
      <c r="E146" s="185" t="s">
        <v>26</v>
      </c>
      <c r="F146" s="188">
        <f>'Infra Build BOQ'!F105</f>
        <v>0</v>
      </c>
      <c r="G146" s="309">
        <v>4495</v>
      </c>
      <c r="H146" s="457">
        <f t="shared" si="266"/>
        <v>0</v>
      </c>
      <c r="I146" s="458"/>
      <c r="J146" s="463">
        <f t="shared" si="267"/>
        <v>0</v>
      </c>
      <c r="K146" s="464">
        <f t="shared" si="268"/>
        <v>0</v>
      </c>
      <c r="L146" s="473"/>
      <c r="M146" s="458"/>
      <c r="N146" s="463">
        <f t="shared" si="269"/>
        <v>0</v>
      </c>
      <c r="O146" s="464">
        <f t="shared" si="270"/>
        <v>0</v>
      </c>
      <c r="P146" s="473"/>
      <c r="Q146" s="458"/>
      <c r="R146" s="463">
        <f t="shared" si="271"/>
        <v>0</v>
      </c>
      <c r="S146" s="464">
        <f t="shared" si="272"/>
        <v>0</v>
      </c>
      <c r="T146" s="473"/>
      <c r="U146" s="458"/>
      <c r="V146" s="463">
        <f t="shared" si="273"/>
        <v>0</v>
      </c>
      <c r="W146" s="464">
        <f t="shared" si="274"/>
        <v>0</v>
      </c>
      <c r="X146" s="459"/>
    </row>
    <row r="147" spans="2:24" ht="15.6">
      <c r="B147" s="183" t="s">
        <v>426</v>
      </c>
      <c r="C147" s="184" t="s">
        <v>534</v>
      </c>
      <c r="D147" s="308" t="s">
        <v>524</v>
      </c>
      <c r="E147" s="185" t="s">
        <v>26</v>
      </c>
      <c r="F147" s="188">
        <f>'Infra Build BOQ'!F106</f>
        <v>0</v>
      </c>
      <c r="G147" s="309">
        <v>8035.29</v>
      </c>
      <c r="H147" s="457">
        <f t="shared" si="266"/>
        <v>0</v>
      </c>
      <c r="I147" s="458"/>
      <c r="J147" s="463">
        <f t="shared" si="267"/>
        <v>0</v>
      </c>
      <c r="K147" s="464">
        <f t="shared" si="268"/>
        <v>0</v>
      </c>
      <c r="L147" s="473"/>
      <c r="M147" s="458"/>
      <c r="N147" s="463">
        <f t="shared" si="269"/>
        <v>0</v>
      </c>
      <c r="O147" s="464">
        <f t="shared" si="270"/>
        <v>0</v>
      </c>
      <c r="P147" s="473"/>
      <c r="Q147" s="458"/>
      <c r="R147" s="463">
        <f t="shared" si="271"/>
        <v>0</v>
      </c>
      <c r="S147" s="464">
        <f t="shared" si="272"/>
        <v>0</v>
      </c>
      <c r="T147" s="473"/>
      <c r="U147" s="458"/>
      <c r="V147" s="463">
        <f t="shared" si="273"/>
        <v>0</v>
      </c>
      <c r="W147" s="464">
        <f t="shared" si="274"/>
        <v>0</v>
      </c>
      <c r="X147" s="459"/>
    </row>
    <row r="148" spans="2:24" ht="15.6">
      <c r="B148" s="183" t="s">
        <v>426</v>
      </c>
      <c r="C148" s="184" t="s">
        <v>243</v>
      </c>
      <c r="D148" s="185" t="s">
        <v>247</v>
      </c>
      <c r="E148" s="185" t="s">
        <v>26</v>
      </c>
      <c r="F148" s="97"/>
      <c r="G148" s="262">
        <v>90</v>
      </c>
      <c r="H148" s="457">
        <f t="shared" si="0"/>
        <v>0</v>
      </c>
      <c r="I148" s="458"/>
      <c r="J148" s="463">
        <f t="shared" si="1"/>
        <v>0</v>
      </c>
      <c r="K148" s="464">
        <f t="shared" si="2"/>
        <v>0</v>
      </c>
      <c r="L148" s="473"/>
      <c r="M148" s="458"/>
      <c r="N148" s="463">
        <f t="shared" si="3"/>
        <v>0</v>
      </c>
      <c r="O148" s="464">
        <f t="shared" si="4"/>
        <v>0</v>
      </c>
      <c r="P148" s="473"/>
      <c r="Q148" s="458"/>
      <c r="R148" s="463">
        <f t="shared" si="5"/>
        <v>0</v>
      </c>
      <c r="S148" s="464">
        <f t="shared" si="6"/>
        <v>0</v>
      </c>
      <c r="T148" s="473"/>
      <c r="U148" s="458"/>
      <c r="V148" s="463">
        <f t="shared" si="7"/>
        <v>0</v>
      </c>
      <c r="W148" s="464">
        <f t="shared" si="8"/>
        <v>0</v>
      </c>
      <c r="X148" s="459"/>
    </row>
    <row r="149" spans="2:24" ht="15.6">
      <c r="B149" s="183" t="s">
        <v>426</v>
      </c>
      <c r="C149" s="184" t="s">
        <v>268</v>
      </c>
      <c r="D149" s="185" t="s">
        <v>269</v>
      </c>
      <c r="E149" s="185" t="s">
        <v>26</v>
      </c>
      <c r="F149" s="97"/>
      <c r="G149" s="262">
        <v>31</v>
      </c>
      <c r="H149" s="457">
        <f t="shared" si="0"/>
        <v>0</v>
      </c>
      <c r="I149" s="458"/>
      <c r="J149" s="463">
        <f t="shared" si="1"/>
        <v>0</v>
      </c>
      <c r="K149" s="464">
        <f t="shared" si="2"/>
        <v>0</v>
      </c>
      <c r="L149" s="473"/>
      <c r="M149" s="458"/>
      <c r="N149" s="463">
        <f t="shared" si="3"/>
        <v>0</v>
      </c>
      <c r="O149" s="464">
        <f t="shared" si="4"/>
        <v>0</v>
      </c>
      <c r="P149" s="473"/>
      <c r="Q149" s="458"/>
      <c r="R149" s="463">
        <f t="shared" si="5"/>
        <v>0</v>
      </c>
      <c r="S149" s="464">
        <f t="shared" si="6"/>
        <v>0</v>
      </c>
      <c r="T149" s="473"/>
      <c r="U149" s="458"/>
      <c r="V149" s="463">
        <f t="shared" si="7"/>
        <v>0</v>
      </c>
      <c r="W149" s="464">
        <f t="shared" si="8"/>
        <v>0</v>
      </c>
      <c r="X149" s="459"/>
    </row>
    <row r="150" spans="2:24" ht="15.6">
      <c r="B150" s="183" t="s">
        <v>426</v>
      </c>
      <c r="C150" s="184" t="s">
        <v>432</v>
      </c>
      <c r="D150" s="185" t="s">
        <v>433</v>
      </c>
      <c r="E150" s="185" t="s">
        <v>26</v>
      </c>
      <c r="F150" s="97"/>
      <c r="G150" s="262">
        <v>5348.15</v>
      </c>
      <c r="H150" s="457">
        <f t="shared" si="0"/>
        <v>0</v>
      </c>
      <c r="I150" s="458"/>
      <c r="J150" s="463">
        <f t="shared" si="1"/>
        <v>0</v>
      </c>
      <c r="K150" s="464">
        <f t="shared" si="2"/>
        <v>0</v>
      </c>
      <c r="L150" s="473"/>
      <c r="M150" s="458"/>
      <c r="N150" s="463">
        <f t="shared" si="3"/>
        <v>0</v>
      </c>
      <c r="O150" s="464">
        <f t="shared" si="4"/>
        <v>0</v>
      </c>
      <c r="P150" s="473"/>
      <c r="Q150" s="458"/>
      <c r="R150" s="463">
        <f t="shared" si="5"/>
        <v>0</v>
      </c>
      <c r="S150" s="464">
        <f t="shared" si="6"/>
        <v>0</v>
      </c>
      <c r="T150" s="473"/>
      <c r="U150" s="458"/>
      <c r="V150" s="463">
        <f t="shared" si="7"/>
        <v>0</v>
      </c>
      <c r="W150" s="464">
        <f t="shared" si="8"/>
        <v>0</v>
      </c>
      <c r="X150" s="459"/>
    </row>
    <row r="151" spans="2:24" ht="31.2">
      <c r="B151" s="183" t="s">
        <v>426</v>
      </c>
      <c r="C151" s="184" t="s">
        <v>741</v>
      </c>
      <c r="D151" s="189" t="s">
        <v>470</v>
      </c>
      <c r="E151" s="185" t="s">
        <v>26</v>
      </c>
      <c r="F151" s="190">
        <f>'Infra Build BOQ'!F93</f>
        <v>0</v>
      </c>
      <c r="G151" s="265">
        <f>600+600+G137</f>
        <v>2153.92</v>
      </c>
      <c r="H151" s="457">
        <f t="shared" ref="H151" si="275">F151*G151</f>
        <v>0</v>
      </c>
      <c r="I151" s="458"/>
      <c r="J151" s="463">
        <f t="shared" ref="J151" si="276">I151+F151</f>
        <v>0</v>
      </c>
      <c r="K151" s="464">
        <f t="shared" ref="K151" si="277">J151*G151</f>
        <v>0</v>
      </c>
      <c r="L151" s="473"/>
      <c r="M151" s="458"/>
      <c r="N151" s="463">
        <f t="shared" ref="N151" si="278">M151+J151</f>
        <v>0</v>
      </c>
      <c r="O151" s="464">
        <f t="shared" ref="O151" si="279">N151*G151</f>
        <v>0</v>
      </c>
      <c r="P151" s="473"/>
      <c r="Q151" s="458"/>
      <c r="R151" s="463">
        <f t="shared" ref="R151" si="280">Q151+N151</f>
        <v>0</v>
      </c>
      <c r="S151" s="464">
        <f t="shared" ref="S151" si="281">R151*G151</f>
        <v>0</v>
      </c>
      <c r="T151" s="473"/>
      <c r="U151" s="458"/>
      <c r="V151" s="463">
        <f t="shared" ref="V151" si="282">U151+R151</f>
        <v>0</v>
      </c>
      <c r="W151" s="464">
        <f t="shared" ref="W151" si="283">V151*G151</f>
        <v>0</v>
      </c>
      <c r="X151" s="459"/>
    </row>
    <row r="152" spans="2:24" ht="31.2">
      <c r="B152" s="183" t="s">
        <v>426</v>
      </c>
      <c r="C152" s="235" t="s">
        <v>508</v>
      </c>
      <c r="D152" s="189" t="s">
        <v>509</v>
      </c>
      <c r="E152" s="185" t="s">
        <v>26</v>
      </c>
      <c r="F152" s="261">
        <f>'Infra Build BOQ'!F92</f>
        <v>0</v>
      </c>
      <c r="G152" s="266">
        <v>2653.92</v>
      </c>
      <c r="H152" s="457">
        <f t="shared" ref="H152" si="284">F152*G152</f>
        <v>0</v>
      </c>
      <c r="I152" s="458"/>
      <c r="J152" s="463">
        <f t="shared" ref="J152" si="285">I152+F152</f>
        <v>0</v>
      </c>
      <c r="K152" s="464">
        <f t="shared" ref="K152" si="286">J152*G152</f>
        <v>0</v>
      </c>
      <c r="L152" s="473"/>
      <c r="M152" s="458"/>
      <c r="N152" s="463">
        <f t="shared" ref="N152" si="287">M152+J152</f>
        <v>0</v>
      </c>
      <c r="O152" s="464">
        <f t="shared" ref="O152" si="288">N152*G152</f>
        <v>0</v>
      </c>
      <c r="P152" s="473"/>
      <c r="Q152" s="458"/>
      <c r="R152" s="463">
        <f t="shared" ref="R152" si="289">Q152+N152</f>
        <v>0</v>
      </c>
      <c r="S152" s="464">
        <f t="shared" ref="S152" si="290">R152*G152</f>
        <v>0</v>
      </c>
      <c r="T152" s="473"/>
      <c r="U152" s="458"/>
      <c r="V152" s="463">
        <f t="shared" ref="V152" si="291">U152+R152</f>
        <v>0</v>
      </c>
      <c r="W152" s="464">
        <f t="shared" ref="W152" si="292">V152*G152</f>
        <v>0</v>
      </c>
      <c r="X152" s="459"/>
    </row>
    <row r="153" spans="2:24" ht="15.6">
      <c r="B153" s="183" t="s">
        <v>429</v>
      </c>
      <c r="C153" s="184" t="s">
        <v>164</v>
      </c>
      <c r="D153" s="185" t="s">
        <v>413</v>
      </c>
      <c r="E153" s="185" t="s">
        <v>26</v>
      </c>
      <c r="F153" s="97"/>
      <c r="G153" s="262">
        <v>3300</v>
      </c>
      <c r="H153" s="457">
        <f t="shared" si="0"/>
        <v>0</v>
      </c>
      <c r="I153" s="458"/>
      <c r="J153" s="463">
        <f t="shared" si="1"/>
        <v>0</v>
      </c>
      <c r="K153" s="464">
        <f t="shared" si="2"/>
        <v>0</v>
      </c>
      <c r="L153" s="473"/>
      <c r="M153" s="458"/>
      <c r="N153" s="463">
        <f t="shared" si="3"/>
        <v>0</v>
      </c>
      <c r="O153" s="464">
        <f t="shared" si="4"/>
        <v>0</v>
      </c>
      <c r="P153" s="473"/>
      <c r="Q153" s="458"/>
      <c r="R153" s="463">
        <f t="shared" si="5"/>
        <v>0</v>
      </c>
      <c r="S153" s="464">
        <f t="shared" si="6"/>
        <v>0</v>
      </c>
      <c r="T153" s="473"/>
      <c r="U153" s="458"/>
      <c r="V153" s="463">
        <f t="shared" si="7"/>
        <v>0</v>
      </c>
      <c r="W153" s="464">
        <f t="shared" si="8"/>
        <v>0</v>
      </c>
      <c r="X153" s="459"/>
    </row>
    <row r="154" spans="2:24" ht="15.6">
      <c r="B154" s="183" t="s">
        <v>429</v>
      </c>
      <c r="C154" s="184" t="s">
        <v>253</v>
      </c>
      <c r="D154" s="185" t="s">
        <v>56</v>
      </c>
      <c r="E154" s="185" t="s">
        <v>26</v>
      </c>
      <c r="F154" s="97"/>
      <c r="G154" s="262">
        <v>577.11</v>
      </c>
      <c r="H154" s="457">
        <f t="shared" si="0"/>
        <v>0</v>
      </c>
      <c r="I154" s="458"/>
      <c r="J154" s="463">
        <f t="shared" si="1"/>
        <v>0</v>
      </c>
      <c r="K154" s="464">
        <f t="shared" si="2"/>
        <v>0</v>
      </c>
      <c r="L154" s="473"/>
      <c r="M154" s="458"/>
      <c r="N154" s="463">
        <f t="shared" si="3"/>
        <v>0</v>
      </c>
      <c r="O154" s="464">
        <f t="shared" si="4"/>
        <v>0</v>
      </c>
      <c r="P154" s="473"/>
      <c r="Q154" s="458"/>
      <c r="R154" s="463">
        <f t="shared" si="5"/>
        <v>0</v>
      </c>
      <c r="S154" s="464">
        <f t="shared" si="6"/>
        <v>0</v>
      </c>
      <c r="T154" s="473"/>
      <c r="U154" s="458"/>
      <c r="V154" s="463">
        <f t="shared" si="7"/>
        <v>0</v>
      </c>
      <c r="W154" s="464">
        <f t="shared" si="8"/>
        <v>0</v>
      </c>
      <c r="X154" s="459"/>
    </row>
    <row r="155" spans="2:24" ht="15.6">
      <c r="B155" s="183" t="s">
        <v>429</v>
      </c>
      <c r="C155" s="184" t="s">
        <v>262</v>
      </c>
      <c r="D155" s="185" t="s">
        <v>469</v>
      </c>
      <c r="E155" s="185" t="s">
        <v>26</v>
      </c>
      <c r="F155" s="261">
        <f>'ROUTE INFO'!C23</f>
        <v>0</v>
      </c>
      <c r="G155" s="262">
        <v>750</v>
      </c>
      <c r="H155" s="457">
        <f t="shared" si="0"/>
        <v>0</v>
      </c>
      <c r="I155" s="458"/>
      <c r="J155" s="463">
        <f t="shared" si="1"/>
        <v>0</v>
      </c>
      <c r="K155" s="464">
        <f t="shared" si="2"/>
        <v>0</v>
      </c>
      <c r="L155" s="473"/>
      <c r="M155" s="458"/>
      <c r="N155" s="463">
        <f t="shared" si="3"/>
        <v>0</v>
      </c>
      <c r="O155" s="464">
        <f t="shared" si="4"/>
        <v>0</v>
      </c>
      <c r="P155" s="473"/>
      <c r="Q155" s="458"/>
      <c r="R155" s="463">
        <f t="shared" si="5"/>
        <v>0</v>
      </c>
      <c r="S155" s="464">
        <f t="shared" si="6"/>
        <v>0</v>
      </c>
      <c r="T155" s="473"/>
      <c r="U155" s="458"/>
      <c r="V155" s="463">
        <f t="shared" si="7"/>
        <v>0</v>
      </c>
      <c r="W155" s="464">
        <f t="shared" si="8"/>
        <v>0</v>
      </c>
      <c r="X155" s="459"/>
    </row>
    <row r="156" spans="2:24" ht="15.6">
      <c r="B156" s="183" t="s">
        <v>429</v>
      </c>
      <c r="C156" s="184" t="s">
        <v>130</v>
      </c>
      <c r="D156" s="185" t="s">
        <v>528</v>
      </c>
      <c r="E156" s="185" t="s">
        <v>26</v>
      </c>
      <c r="F156" s="261">
        <f>'ROUTE INFO'!C24</f>
        <v>0</v>
      </c>
      <c r="G156" s="262">
        <v>1650</v>
      </c>
      <c r="H156" s="457">
        <f t="shared" si="0"/>
        <v>0</v>
      </c>
      <c r="I156" s="458"/>
      <c r="J156" s="463">
        <f t="shared" si="1"/>
        <v>0</v>
      </c>
      <c r="K156" s="464">
        <f t="shared" si="2"/>
        <v>0</v>
      </c>
      <c r="L156" s="473"/>
      <c r="M156" s="458"/>
      <c r="N156" s="463">
        <f t="shared" si="3"/>
        <v>0</v>
      </c>
      <c r="O156" s="464">
        <f t="shared" si="4"/>
        <v>0</v>
      </c>
      <c r="P156" s="473"/>
      <c r="Q156" s="458"/>
      <c r="R156" s="463">
        <f t="shared" si="5"/>
        <v>0</v>
      </c>
      <c r="S156" s="464">
        <f t="shared" si="6"/>
        <v>0</v>
      </c>
      <c r="T156" s="473"/>
      <c r="U156" s="458"/>
      <c r="V156" s="463">
        <f t="shared" si="7"/>
        <v>0</v>
      </c>
      <c r="W156" s="464">
        <f t="shared" si="8"/>
        <v>0</v>
      </c>
      <c r="X156" s="459"/>
    </row>
    <row r="157" spans="2:24" ht="15.6">
      <c r="B157" s="183" t="s">
        <v>429</v>
      </c>
      <c r="C157" s="184" t="s">
        <v>414</v>
      </c>
      <c r="D157" s="185" t="s">
        <v>415</v>
      </c>
      <c r="E157" s="185" t="s">
        <v>26</v>
      </c>
      <c r="F157" s="97"/>
      <c r="G157" s="262">
        <v>700</v>
      </c>
      <c r="H157" s="457">
        <f t="shared" si="0"/>
        <v>0</v>
      </c>
      <c r="I157" s="458"/>
      <c r="J157" s="463">
        <f t="shared" si="1"/>
        <v>0</v>
      </c>
      <c r="K157" s="464">
        <f t="shared" si="2"/>
        <v>0</v>
      </c>
      <c r="L157" s="473"/>
      <c r="M157" s="458"/>
      <c r="N157" s="463">
        <f t="shared" si="3"/>
        <v>0</v>
      </c>
      <c r="O157" s="464">
        <f t="shared" si="4"/>
        <v>0</v>
      </c>
      <c r="P157" s="473"/>
      <c r="Q157" s="458"/>
      <c r="R157" s="463">
        <f t="shared" si="5"/>
        <v>0</v>
      </c>
      <c r="S157" s="464">
        <f t="shared" si="6"/>
        <v>0</v>
      </c>
      <c r="T157" s="473"/>
      <c r="U157" s="458"/>
      <c r="V157" s="463">
        <f t="shared" si="7"/>
        <v>0</v>
      </c>
      <c r="W157" s="464">
        <f t="shared" si="8"/>
        <v>0</v>
      </c>
      <c r="X157" s="459"/>
    </row>
    <row r="158" spans="2:24" ht="15.6">
      <c r="B158" s="183" t="s">
        <v>429</v>
      </c>
      <c r="C158" s="316" t="s">
        <v>590</v>
      </c>
      <c r="D158" s="317" t="s">
        <v>591</v>
      </c>
      <c r="E158" s="185" t="s">
        <v>26</v>
      </c>
      <c r="F158" s="261">
        <f>'ROUTE INFO'!C25</f>
        <v>0</v>
      </c>
      <c r="G158" s="309">
        <v>566.96</v>
      </c>
      <c r="H158" s="457">
        <f t="shared" ref="H158:H160" si="293">F158*G158</f>
        <v>0</v>
      </c>
      <c r="I158" s="458"/>
      <c r="J158" s="463">
        <f t="shared" ref="J158:J160" si="294">I158+F158</f>
        <v>0</v>
      </c>
      <c r="K158" s="464">
        <f t="shared" ref="K158:K160" si="295">J158*G158</f>
        <v>0</v>
      </c>
      <c r="L158" s="473"/>
      <c r="M158" s="458"/>
      <c r="N158" s="463">
        <f t="shared" ref="N158:N160" si="296">M158+J158</f>
        <v>0</v>
      </c>
      <c r="O158" s="464">
        <f t="shared" ref="O158:O160" si="297">N158*G158</f>
        <v>0</v>
      </c>
      <c r="P158" s="473"/>
      <c r="Q158" s="458"/>
      <c r="R158" s="463">
        <f t="shared" ref="R158:R160" si="298">Q158+N158</f>
        <v>0</v>
      </c>
      <c r="S158" s="464">
        <f t="shared" ref="S158:S160" si="299">R158*G158</f>
        <v>0</v>
      </c>
      <c r="T158" s="473"/>
      <c r="U158" s="458"/>
      <c r="V158" s="463">
        <f t="shared" ref="V158:V160" si="300">U158+R158</f>
        <v>0</v>
      </c>
      <c r="W158" s="464">
        <f t="shared" ref="W158:W160" si="301">V158*G158</f>
        <v>0</v>
      </c>
      <c r="X158" s="459"/>
    </row>
    <row r="159" spans="2:24" ht="15.6">
      <c r="B159" s="183" t="s">
        <v>429</v>
      </c>
      <c r="C159" s="316" t="s">
        <v>535</v>
      </c>
      <c r="D159" s="308" t="s">
        <v>623</v>
      </c>
      <c r="E159" s="185" t="s">
        <v>26</v>
      </c>
      <c r="F159" s="310"/>
      <c r="G159" s="309">
        <v>707.99</v>
      </c>
      <c r="H159" s="457">
        <f t="shared" ref="H159" si="302">F159*G159</f>
        <v>0</v>
      </c>
      <c r="I159" s="458"/>
      <c r="J159" s="463">
        <f t="shared" ref="J159" si="303">I159+F159</f>
        <v>0</v>
      </c>
      <c r="K159" s="464">
        <f t="shared" ref="K159" si="304">J159*G159</f>
        <v>0</v>
      </c>
      <c r="L159" s="473"/>
      <c r="M159" s="458"/>
      <c r="N159" s="463">
        <f t="shared" ref="N159" si="305">M159+J159</f>
        <v>0</v>
      </c>
      <c r="O159" s="464">
        <f t="shared" ref="O159" si="306">N159*G159</f>
        <v>0</v>
      </c>
      <c r="P159" s="473"/>
      <c r="Q159" s="458"/>
      <c r="R159" s="463">
        <f t="shared" ref="R159" si="307">Q159+N159</f>
        <v>0</v>
      </c>
      <c r="S159" s="464">
        <f t="shared" ref="S159" si="308">R159*G159</f>
        <v>0</v>
      </c>
      <c r="T159" s="473"/>
      <c r="U159" s="458"/>
      <c r="V159" s="463">
        <f t="shared" ref="V159" si="309">U159+R159</f>
        <v>0</v>
      </c>
      <c r="W159" s="464">
        <f t="shared" ref="W159" si="310">V159*G159</f>
        <v>0</v>
      </c>
      <c r="X159" s="459"/>
    </row>
    <row r="160" spans="2:24" ht="15.6">
      <c r="B160" s="183" t="s">
        <v>429</v>
      </c>
      <c r="C160" s="184" t="s">
        <v>265</v>
      </c>
      <c r="D160" s="185" t="s">
        <v>527</v>
      </c>
      <c r="E160" s="185" t="s">
        <v>26</v>
      </c>
      <c r="F160" s="190">
        <f>'ROUTE INFO'!C10</f>
        <v>1</v>
      </c>
      <c r="G160" s="262">
        <v>80</v>
      </c>
      <c r="H160" s="457">
        <f t="shared" si="293"/>
        <v>80</v>
      </c>
      <c r="I160" s="458"/>
      <c r="J160" s="463">
        <f t="shared" si="294"/>
        <v>1</v>
      </c>
      <c r="K160" s="464">
        <f t="shared" si="295"/>
        <v>80</v>
      </c>
      <c r="L160" s="473"/>
      <c r="M160" s="458"/>
      <c r="N160" s="463">
        <f t="shared" si="296"/>
        <v>1</v>
      </c>
      <c r="O160" s="464">
        <f t="shared" si="297"/>
        <v>80</v>
      </c>
      <c r="P160" s="473"/>
      <c r="Q160" s="458"/>
      <c r="R160" s="463">
        <f t="shared" si="298"/>
        <v>1</v>
      </c>
      <c r="S160" s="464">
        <f t="shared" si="299"/>
        <v>80</v>
      </c>
      <c r="T160" s="473"/>
      <c r="U160" s="458"/>
      <c r="V160" s="463">
        <f t="shared" si="300"/>
        <v>1</v>
      </c>
      <c r="W160" s="464">
        <f t="shared" si="301"/>
        <v>80</v>
      </c>
      <c r="X160" s="459"/>
    </row>
    <row r="161" spans="2:24" ht="15.6">
      <c r="B161" s="183" t="s">
        <v>429</v>
      </c>
      <c r="C161" s="184" t="s">
        <v>579</v>
      </c>
      <c r="D161" s="185" t="s">
        <v>589</v>
      </c>
      <c r="E161" s="185" t="s">
        <v>26</v>
      </c>
      <c r="F161" s="190">
        <f>'ROUTE INFO'!C11</f>
        <v>0</v>
      </c>
      <c r="G161" s="262">
        <v>175</v>
      </c>
      <c r="H161" s="457">
        <f t="shared" ref="H161" si="311">F161*G161</f>
        <v>0</v>
      </c>
      <c r="I161" s="458"/>
      <c r="J161" s="463">
        <f t="shared" ref="J161" si="312">I161+F161</f>
        <v>0</v>
      </c>
      <c r="K161" s="464">
        <f t="shared" ref="K161" si="313">J161*G161</f>
        <v>0</v>
      </c>
      <c r="L161" s="473"/>
      <c r="M161" s="458"/>
      <c r="N161" s="463">
        <f t="shared" ref="N161" si="314">M161+J161</f>
        <v>0</v>
      </c>
      <c r="O161" s="464">
        <f t="shared" ref="O161" si="315">N161*G161</f>
        <v>0</v>
      </c>
      <c r="P161" s="473"/>
      <c r="Q161" s="458"/>
      <c r="R161" s="463">
        <f t="shared" ref="R161" si="316">Q161+N161</f>
        <v>0</v>
      </c>
      <c r="S161" s="464">
        <f t="shared" ref="S161" si="317">R161*G161</f>
        <v>0</v>
      </c>
      <c r="T161" s="473"/>
      <c r="U161" s="458"/>
      <c r="V161" s="463">
        <f t="shared" ref="V161" si="318">U161+R161</f>
        <v>0</v>
      </c>
      <c r="W161" s="464">
        <f t="shared" ref="W161" si="319">V161*G161</f>
        <v>0</v>
      </c>
      <c r="X161" s="459"/>
    </row>
    <row r="162" spans="2:24" ht="15.6">
      <c r="B162" s="183" t="s">
        <v>429</v>
      </c>
      <c r="C162" s="184" t="s">
        <v>259</v>
      </c>
      <c r="D162" s="185" t="s">
        <v>129</v>
      </c>
      <c r="E162" s="185" t="s">
        <v>26</v>
      </c>
      <c r="F162" s="190">
        <f>'ROUTE INFO'!C12</f>
        <v>0</v>
      </c>
      <c r="G162" s="262">
        <v>550</v>
      </c>
      <c r="H162" s="457">
        <f t="shared" si="0"/>
        <v>0</v>
      </c>
      <c r="I162" s="458"/>
      <c r="J162" s="463">
        <f t="shared" si="1"/>
        <v>0</v>
      </c>
      <c r="K162" s="464">
        <f t="shared" si="2"/>
        <v>0</v>
      </c>
      <c r="L162" s="473"/>
      <c r="M162" s="458"/>
      <c r="N162" s="463">
        <f t="shared" si="3"/>
        <v>0</v>
      </c>
      <c r="O162" s="464">
        <f t="shared" si="4"/>
        <v>0</v>
      </c>
      <c r="P162" s="473"/>
      <c r="Q162" s="458"/>
      <c r="R162" s="463">
        <f t="shared" si="5"/>
        <v>0</v>
      </c>
      <c r="S162" s="464">
        <f t="shared" si="6"/>
        <v>0</v>
      </c>
      <c r="T162" s="473"/>
      <c r="U162" s="458"/>
      <c r="V162" s="463">
        <f t="shared" si="7"/>
        <v>0</v>
      </c>
      <c r="W162" s="464">
        <f t="shared" si="8"/>
        <v>0</v>
      </c>
      <c r="X162" s="459"/>
    </row>
    <row r="163" spans="2:24" ht="15.6">
      <c r="B163" s="183" t="s">
        <v>429</v>
      </c>
      <c r="C163" s="184" t="s">
        <v>417</v>
      </c>
      <c r="D163" s="185" t="s">
        <v>416</v>
      </c>
      <c r="E163" s="185" t="s">
        <v>26</v>
      </c>
      <c r="F163" s="190">
        <f>'ROUTE INFO'!C13</f>
        <v>0</v>
      </c>
      <c r="G163" s="262">
        <v>950</v>
      </c>
      <c r="H163" s="457">
        <f t="shared" si="0"/>
        <v>0</v>
      </c>
      <c r="I163" s="458"/>
      <c r="J163" s="463">
        <f t="shared" si="1"/>
        <v>0</v>
      </c>
      <c r="K163" s="464">
        <f t="shared" si="2"/>
        <v>0</v>
      </c>
      <c r="L163" s="473"/>
      <c r="M163" s="458"/>
      <c r="N163" s="463">
        <f t="shared" si="3"/>
        <v>0</v>
      </c>
      <c r="O163" s="464">
        <f t="shared" si="4"/>
        <v>0</v>
      </c>
      <c r="P163" s="473"/>
      <c r="Q163" s="458"/>
      <c r="R163" s="463">
        <f t="shared" si="5"/>
        <v>0</v>
      </c>
      <c r="S163" s="464">
        <f t="shared" si="6"/>
        <v>0</v>
      </c>
      <c r="T163" s="473"/>
      <c r="U163" s="458"/>
      <c r="V163" s="463">
        <f t="shared" si="7"/>
        <v>0</v>
      </c>
      <c r="W163" s="464">
        <f t="shared" si="8"/>
        <v>0</v>
      </c>
      <c r="X163" s="459"/>
    </row>
    <row r="164" spans="2:24" ht="15.6">
      <c r="B164" s="183" t="s">
        <v>429</v>
      </c>
      <c r="C164" s="184" t="s">
        <v>258</v>
      </c>
      <c r="D164" s="185" t="s">
        <v>704</v>
      </c>
      <c r="E164" s="185" t="s">
        <v>26</v>
      </c>
      <c r="F164" s="190">
        <f>'ROUTE INFO'!C14</f>
        <v>0</v>
      </c>
      <c r="G164" s="262">
        <v>1295</v>
      </c>
      <c r="H164" s="457">
        <f t="shared" si="0"/>
        <v>0</v>
      </c>
      <c r="I164" s="458"/>
      <c r="J164" s="463">
        <f t="shared" si="1"/>
        <v>0</v>
      </c>
      <c r="K164" s="464">
        <f t="shared" si="2"/>
        <v>0</v>
      </c>
      <c r="L164" s="473"/>
      <c r="M164" s="458"/>
      <c r="N164" s="463">
        <f t="shared" si="3"/>
        <v>0</v>
      </c>
      <c r="O164" s="464">
        <f t="shared" si="4"/>
        <v>0</v>
      </c>
      <c r="P164" s="473"/>
      <c r="Q164" s="458"/>
      <c r="R164" s="463">
        <f t="shared" si="5"/>
        <v>0</v>
      </c>
      <c r="S164" s="464">
        <f t="shared" si="6"/>
        <v>0</v>
      </c>
      <c r="T164" s="473"/>
      <c r="U164" s="458"/>
      <c r="V164" s="463">
        <f t="shared" si="7"/>
        <v>0</v>
      </c>
      <c r="W164" s="464">
        <f t="shared" si="8"/>
        <v>0</v>
      </c>
      <c r="X164" s="459"/>
    </row>
    <row r="165" spans="2:24" ht="15.6">
      <c r="B165" s="183" t="s">
        <v>429</v>
      </c>
      <c r="C165" s="184" t="s">
        <v>706</v>
      </c>
      <c r="D165" s="185" t="s">
        <v>705</v>
      </c>
      <c r="E165" s="185" t="s">
        <v>26</v>
      </c>
      <c r="F165" s="190">
        <f>'ROUTE INFO'!C15</f>
        <v>0</v>
      </c>
      <c r="G165" s="441">
        <v>3100</v>
      </c>
      <c r="H165" s="457">
        <f t="shared" si="0"/>
        <v>0</v>
      </c>
      <c r="I165" s="458"/>
      <c r="J165" s="463">
        <f t="shared" ref="J165" si="320">I165+F165</f>
        <v>0</v>
      </c>
      <c r="K165" s="464">
        <f t="shared" ref="K165" si="321">J165*G165</f>
        <v>0</v>
      </c>
      <c r="L165" s="473"/>
      <c r="M165" s="458"/>
      <c r="N165" s="463">
        <f t="shared" ref="N165" si="322">M165+J165</f>
        <v>0</v>
      </c>
      <c r="O165" s="464">
        <f t="shared" ref="O165" si="323">N165*G165</f>
        <v>0</v>
      </c>
      <c r="P165" s="473"/>
      <c r="Q165" s="458"/>
      <c r="R165" s="463">
        <f t="shared" ref="R165" si="324">Q165+N165</f>
        <v>0</v>
      </c>
      <c r="S165" s="464">
        <f t="shared" ref="S165" si="325">R165*G165</f>
        <v>0</v>
      </c>
      <c r="T165" s="473"/>
      <c r="U165" s="458"/>
      <c r="V165" s="463">
        <f t="shared" ref="V165" si="326">U165+R165</f>
        <v>0</v>
      </c>
      <c r="W165" s="464">
        <f t="shared" ref="W165" si="327">V165*G165</f>
        <v>0</v>
      </c>
      <c r="X165" s="459"/>
    </row>
    <row r="166" spans="2:24" ht="15.6">
      <c r="B166" s="183" t="s">
        <v>429</v>
      </c>
      <c r="C166" s="184" t="s">
        <v>419</v>
      </c>
      <c r="D166" s="185" t="s">
        <v>418</v>
      </c>
      <c r="E166" s="185" t="s">
        <v>26</v>
      </c>
      <c r="F166" s="97"/>
      <c r="G166" s="262">
        <v>2378.6</v>
      </c>
      <c r="H166" s="457">
        <f t="shared" si="0"/>
        <v>0</v>
      </c>
      <c r="I166" s="458"/>
      <c r="J166" s="463">
        <f t="shared" si="1"/>
        <v>0</v>
      </c>
      <c r="K166" s="464">
        <f t="shared" si="2"/>
        <v>0</v>
      </c>
      <c r="L166" s="473"/>
      <c r="M166" s="458"/>
      <c r="N166" s="463">
        <f t="shared" si="3"/>
        <v>0</v>
      </c>
      <c r="O166" s="464">
        <f t="shared" si="4"/>
        <v>0</v>
      </c>
      <c r="P166" s="473"/>
      <c r="Q166" s="458"/>
      <c r="R166" s="463">
        <f t="shared" si="5"/>
        <v>0</v>
      </c>
      <c r="S166" s="464">
        <f t="shared" si="6"/>
        <v>0</v>
      </c>
      <c r="T166" s="473"/>
      <c r="U166" s="458"/>
      <c r="V166" s="463">
        <f t="shared" si="7"/>
        <v>0</v>
      </c>
      <c r="W166" s="464">
        <f t="shared" si="8"/>
        <v>0</v>
      </c>
      <c r="X166" s="459"/>
    </row>
    <row r="167" spans="2:24" ht="15.6">
      <c r="B167" s="183" t="s">
        <v>429</v>
      </c>
      <c r="C167" s="184" t="s">
        <v>234</v>
      </c>
      <c r="D167" s="185" t="s">
        <v>278</v>
      </c>
      <c r="E167" s="185" t="s">
        <v>26</v>
      </c>
      <c r="F167" s="97"/>
      <c r="G167" s="262">
        <v>2545</v>
      </c>
      <c r="H167" s="457">
        <f t="shared" si="0"/>
        <v>0</v>
      </c>
      <c r="I167" s="458"/>
      <c r="J167" s="463">
        <f t="shared" si="1"/>
        <v>0</v>
      </c>
      <c r="K167" s="464">
        <f t="shared" si="2"/>
        <v>0</v>
      </c>
      <c r="L167" s="473"/>
      <c r="M167" s="458"/>
      <c r="N167" s="463">
        <f t="shared" si="3"/>
        <v>0</v>
      </c>
      <c r="O167" s="464">
        <f t="shared" si="4"/>
        <v>0</v>
      </c>
      <c r="P167" s="473"/>
      <c r="Q167" s="458"/>
      <c r="R167" s="463">
        <f t="shared" si="5"/>
        <v>0</v>
      </c>
      <c r="S167" s="464">
        <f t="shared" si="6"/>
        <v>0</v>
      </c>
      <c r="T167" s="473"/>
      <c r="U167" s="458"/>
      <c r="V167" s="463">
        <f t="shared" si="7"/>
        <v>0</v>
      </c>
      <c r="W167" s="464">
        <f t="shared" si="8"/>
        <v>0</v>
      </c>
      <c r="X167" s="459"/>
    </row>
    <row r="168" spans="2:24" ht="15.6">
      <c r="B168" s="183" t="s">
        <v>429</v>
      </c>
      <c r="C168" s="184" t="s">
        <v>219</v>
      </c>
      <c r="D168" s="185" t="s">
        <v>206</v>
      </c>
      <c r="E168" s="185" t="s">
        <v>26</v>
      </c>
      <c r="F168" s="97"/>
      <c r="G168" s="262">
        <v>9000</v>
      </c>
      <c r="H168" s="457">
        <f t="shared" si="0"/>
        <v>0</v>
      </c>
      <c r="I168" s="458"/>
      <c r="J168" s="463">
        <f t="shared" si="1"/>
        <v>0</v>
      </c>
      <c r="K168" s="464">
        <f t="shared" si="2"/>
        <v>0</v>
      </c>
      <c r="L168" s="473"/>
      <c r="M168" s="458"/>
      <c r="N168" s="463">
        <f t="shared" si="3"/>
        <v>0</v>
      </c>
      <c r="O168" s="464">
        <f t="shared" si="4"/>
        <v>0</v>
      </c>
      <c r="P168" s="473"/>
      <c r="Q168" s="458"/>
      <c r="R168" s="463">
        <f t="shared" si="5"/>
        <v>0</v>
      </c>
      <c r="S168" s="464">
        <f t="shared" si="6"/>
        <v>0</v>
      </c>
      <c r="T168" s="473"/>
      <c r="U168" s="458"/>
      <c r="V168" s="463">
        <f t="shared" si="7"/>
        <v>0</v>
      </c>
      <c r="W168" s="464">
        <f t="shared" si="8"/>
        <v>0</v>
      </c>
      <c r="X168" s="459"/>
    </row>
    <row r="169" spans="2:24" ht="15.6">
      <c r="B169" s="183" t="s">
        <v>429</v>
      </c>
      <c r="C169" s="184" t="s">
        <v>207</v>
      </c>
      <c r="D169" s="185" t="s">
        <v>205</v>
      </c>
      <c r="E169" s="185" t="s">
        <v>26</v>
      </c>
      <c r="F169" s="97"/>
      <c r="G169" s="262">
        <v>12118.99</v>
      </c>
      <c r="H169" s="457">
        <f t="shared" si="0"/>
        <v>0</v>
      </c>
      <c r="I169" s="458"/>
      <c r="J169" s="463">
        <f t="shared" si="1"/>
        <v>0</v>
      </c>
      <c r="K169" s="464">
        <f t="shared" si="2"/>
        <v>0</v>
      </c>
      <c r="L169" s="473"/>
      <c r="M169" s="458"/>
      <c r="N169" s="463">
        <f t="shared" si="3"/>
        <v>0</v>
      </c>
      <c r="O169" s="464">
        <f t="shared" si="4"/>
        <v>0</v>
      </c>
      <c r="P169" s="473"/>
      <c r="Q169" s="458"/>
      <c r="R169" s="463">
        <f t="shared" si="5"/>
        <v>0</v>
      </c>
      <c r="S169" s="464">
        <f t="shared" si="6"/>
        <v>0</v>
      </c>
      <c r="T169" s="473"/>
      <c r="U169" s="458"/>
      <c r="V169" s="463">
        <f t="shared" si="7"/>
        <v>0</v>
      </c>
      <c r="W169" s="464">
        <f t="shared" si="8"/>
        <v>0</v>
      </c>
      <c r="X169" s="459"/>
    </row>
    <row r="170" spans="2:24" ht="15.6">
      <c r="B170" s="183" t="s">
        <v>429</v>
      </c>
      <c r="C170" s="184" t="s">
        <v>822</v>
      </c>
      <c r="D170" s="191" t="s">
        <v>823</v>
      </c>
      <c r="E170" s="185" t="s">
        <v>26</v>
      </c>
      <c r="F170" s="190">
        <f>'ROUTE INFO'!C16</f>
        <v>0</v>
      </c>
      <c r="G170" s="263">
        <v>850</v>
      </c>
      <c r="H170" s="457">
        <f t="shared" ref="H170" si="328">F170*G170</f>
        <v>0</v>
      </c>
      <c r="I170" s="458"/>
      <c r="J170" s="463">
        <f t="shared" ref="J170" si="329">I170+F170</f>
        <v>0</v>
      </c>
      <c r="K170" s="464">
        <f t="shared" ref="K170" si="330">J170*G170</f>
        <v>0</v>
      </c>
      <c r="L170" s="473"/>
      <c r="M170" s="458"/>
      <c r="N170" s="463">
        <f t="shared" ref="N170" si="331">M170+J170</f>
        <v>0</v>
      </c>
      <c r="O170" s="464">
        <f t="shared" ref="O170" si="332">N170*G170</f>
        <v>0</v>
      </c>
      <c r="P170" s="473"/>
      <c r="Q170" s="458"/>
      <c r="R170" s="463">
        <f t="shared" ref="R170" si="333">Q170+N170</f>
        <v>0</v>
      </c>
      <c r="S170" s="464">
        <f t="shared" ref="S170" si="334">R170*G170</f>
        <v>0</v>
      </c>
      <c r="T170" s="473"/>
      <c r="U170" s="458"/>
      <c r="V170" s="463">
        <f t="shared" ref="V170" si="335">U170+R170</f>
        <v>0</v>
      </c>
      <c r="W170" s="464">
        <f t="shared" ref="W170" si="336">V170*G170</f>
        <v>0</v>
      </c>
      <c r="X170" s="459"/>
    </row>
    <row r="171" spans="2:24" ht="15.6">
      <c r="B171" s="183" t="s">
        <v>429</v>
      </c>
      <c r="C171" s="184" t="s">
        <v>299</v>
      </c>
      <c r="D171" s="191" t="s">
        <v>300</v>
      </c>
      <c r="E171" s="185" t="s">
        <v>26</v>
      </c>
      <c r="F171" s="190">
        <f>'ROUTE INFO'!C17</f>
        <v>0</v>
      </c>
      <c r="G171" s="263">
        <v>850</v>
      </c>
      <c r="H171" s="457">
        <f t="shared" si="0"/>
        <v>0</v>
      </c>
      <c r="I171" s="458"/>
      <c r="J171" s="463">
        <f t="shared" si="1"/>
        <v>0</v>
      </c>
      <c r="K171" s="464">
        <f t="shared" si="2"/>
        <v>0</v>
      </c>
      <c r="L171" s="473"/>
      <c r="M171" s="458"/>
      <c r="N171" s="463">
        <f t="shared" si="3"/>
        <v>0</v>
      </c>
      <c r="O171" s="464">
        <f t="shared" si="4"/>
        <v>0</v>
      </c>
      <c r="P171" s="473"/>
      <c r="Q171" s="458"/>
      <c r="R171" s="463">
        <f t="shared" si="5"/>
        <v>0</v>
      </c>
      <c r="S171" s="464">
        <f t="shared" si="6"/>
        <v>0</v>
      </c>
      <c r="T171" s="473"/>
      <c r="U171" s="458"/>
      <c r="V171" s="463">
        <f t="shared" si="7"/>
        <v>0</v>
      </c>
      <c r="W171" s="464">
        <f t="shared" si="8"/>
        <v>0</v>
      </c>
      <c r="X171" s="459"/>
    </row>
    <row r="172" spans="2:24" ht="15.6">
      <c r="B172" s="183" t="s">
        <v>429</v>
      </c>
      <c r="C172" s="184" t="s">
        <v>824</v>
      </c>
      <c r="D172" s="191" t="s">
        <v>825</v>
      </c>
      <c r="E172" s="185" t="s">
        <v>26</v>
      </c>
      <c r="F172" s="190">
        <f>'ROUTE INFO'!C18</f>
        <v>0</v>
      </c>
      <c r="G172" s="263">
        <v>1200</v>
      </c>
      <c r="H172" s="457">
        <f t="shared" ref="H172" si="337">F172*G172</f>
        <v>0</v>
      </c>
      <c r="I172" s="458"/>
      <c r="J172" s="463">
        <f t="shared" ref="J172" si="338">I172+F172</f>
        <v>0</v>
      </c>
      <c r="K172" s="464">
        <f t="shared" ref="K172" si="339">J172*G172</f>
        <v>0</v>
      </c>
      <c r="L172" s="473"/>
      <c r="M172" s="458"/>
      <c r="N172" s="463">
        <f t="shared" ref="N172" si="340">M172+J172</f>
        <v>0</v>
      </c>
      <c r="O172" s="464">
        <f t="shared" ref="O172" si="341">N172*G172</f>
        <v>0</v>
      </c>
      <c r="P172" s="473"/>
      <c r="Q172" s="458"/>
      <c r="R172" s="463">
        <f t="shared" ref="R172" si="342">Q172+N172</f>
        <v>0</v>
      </c>
      <c r="S172" s="464">
        <f t="shared" ref="S172" si="343">R172*G172</f>
        <v>0</v>
      </c>
      <c r="T172" s="473"/>
      <c r="U172" s="458"/>
      <c r="V172" s="463">
        <f t="shared" ref="V172" si="344">U172+R172</f>
        <v>0</v>
      </c>
      <c r="W172" s="464">
        <f t="shared" ref="W172" si="345">V172*G172</f>
        <v>0</v>
      </c>
      <c r="X172" s="459"/>
    </row>
    <row r="173" spans="2:24" ht="15.6">
      <c r="B173" s="183" t="s">
        <v>429</v>
      </c>
      <c r="C173" s="184" t="s">
        <v>356</v>
      </c>
      <c r="D173" s="191" t="s">
        <v>357</v>
      </c>
      <c r="E173" s="185" t="s">
        <v>26</v>
      </c>
      <c r="F173" s="190">
        <f>'ROUTE INFO'!C21</f>
        <v>0</v>
      </c>
      <c r="G173" s="263">
        <v>1500</v>
      </c>
      <c r="H173" s="457">
        <f t="shared" si="0"/>
        <v>0</v>
      </c>
      <c r="I173" s="458"/>
      <c r="J173" s="463">
        <f t="shared" si="1"/>
        <v>0</v>
      </c>
      <c r="K173" s="464">
        <f t="shared" si="2"/>
        <v>0</v>
      </c>
      <c r="L173" s="473"/>
      <c r="M173" s="458"/>
      <c r="N173" s="463">
        <f t="shared" si="3"/>
        <v>0</v>
      </c>
      <c r="O173" s="464">
        <f t="shared" si="4"/>
        <v>0</v>
      </c>
      <c r="P173" s="473"/>
      <c r="Q173" s="458"/>
      <c r="R173" s="463">
        <f t="shared" si="5"/>
        <v>0</v>
      </c>
      <c r="S173" s="464">
        <f t="shared" si="6"/>
        <v>0</v>
      </c>
      <c r="T173" s="473"/>
      <c r="U173" s="458"/>
      <c r="V173" s="463">
        <f t="shared" si="7"/>
        <v>0</v>
      </c>
      <c r="W173" s="464">
        <f t="shared" si="8"/>
        <v>0</v>
      </c>
      <c r="X173" s="459"/>
    </row>
    <row r="174" spans="2:24" ht="15.6">
      <c r="B174" s="183" t="s">
        <v>429</v>
      </c>
      <c r="C174" s="184" t="s">
        <v>826</v>
      </c>
      <c r="D174" s="191" t="s">
        <v>827</v>
      </c>
      <c r="E174" s="185" t="s">
        <v>26</v>
      </c>
      <c r="F174" s="190">
        <f>'ROUTE INFO'!C22</f>
        <v>0</v>
      </c>
      <c r="G174" s="263">
        <v>1800</v>
      </c>
      <c r="H174" s="457">
        <f t="shared" ref="H174" si="346">F174*G174</f>
        <v>0</v>
      </c>
      <c r="I174" s="458"/>
      <c r="J174" s="463">
        <f t="shared" ref="J174" si="347">I174+F174</f>
        <v>0</v>
      </c>
      <c r="K174" s="464">
        <f t="shared" ref="K174" si="348">J174*G174</f>
        <v>0</v>
      </c>
      <c r="L174" s="473"/>
      <c r="M174" s="458"/>
      <c r="N174" s="463">
        <f t="shared" ref="N174" si="349">M174+J174</f>
        <v>0</v>
      </c>
      <c r="O174" s="464">
        <f t="shared" ref="O174" si="350">N174*G174</f>
        <v>0</v>
      </c>
      <c r="P174" s="473"/>
      <c r="Q174" s="458"/>
      <c r="R174" s="463">
        <f t="shared" ref="R174" si="351">Q174+N174</f>
        <v>0</v>
      </c>
      <c r="S174" s="464">
        <f t="shared" ref="S174" si="352">R174*G174</f>
        <v>0</v>
      </c>
      <c r="T174" s="473"/>
      <c r="U174" s="458"/>
      <c r="V174" s="463">
        <f t="shared" ref="V174" si="353">U174+R174</f>
        <v>0</v>
      </c>
      <c r="W174" s="464">
        <f t="shared" ref="W174" si="354">V174*G174</f>
        <v>0</v>
      </c>
      <c r="X174" s="459"/>
    </row>
    <row r="175" spans="2:24" ht="15.6">
      <c r="B175" s="183" t="s">
        <v>429</v>
      </c>
      <c r="C175" s="184" t="s">
        <v>204</v>
      </c>
      <c r="D175" s="185" t="s">
        <v>58</v>
      </c>
      <c r="E175" s="185" t="s">
        <v>26</v>
      </c>
      <c r="F175" s="97"/>
      <c r="G175" s="262">
        <v>7790</v>
      </c>
      <c r="H175" s="457">
        <f t="shared" si="0"/>
        <v>0</v>
      </c>
      <c r="I175" s="458"/>
      <c r="J175" s="463">
        <f t="shared" si="1"/>
        <v>0</v>
      </c>
      <c r="K175" s="464">
        <f t="shared" si="2"/>
        <v>0</v>
      </c>
      <c r="L175" s="473"/>
      <c r="M175" s="458"/>
      <c r="N175" s="463">
        <f t="shared" si="3"/>
        <v>0</v>
      </c>
      <c r="O175" s="464">
        <f t="shared" si="4"/>
        <v>0</v>
      </c>
      <c r="P175" s="473"/>
      <c r="Q175" s="458"/>
      <c r="R175" s="463">
        <f t="shared" si="5"/>
        <v>0</v>
      </c>
      <c r="S175" s="464">
        <f t="shared" si="6"/>
        <v>0</v>
      </c>
      <c r="T175" s="473"/>
      <c r="U175" s="458"/>
      <c r="V175" s="463">
        <f t="shared" si="7"/>
        <v>0</v>
      </c>
      <c r="W175" s="464">
        <f t="shared" si="8"/>
        <v>0</v>
      </c>
      <c r="X175" s="459"/>
    </row>
    <row r="176" spans="2:24" ht="15.6">
      <c r="B176" s="183" t="s">
        <v>429</v>
      </c>
      <c r="C176" s="184" t="s">
        <v>420</v>
      </c>
      <c r="D176" s="185" t="s">
        <v>622</v>
      </c>
      <c r="E176" s="185" t="s">
        <v>26</v>
      </c>
      <c r="F176" s="97"/>
      <c r="G176" s="262">
        <v>3126.36</v>
      </c>
      <c r="H176" s="457">
        <f t="shared" si="0"/>
        <v>0</v>
      </c>
      <c r="I176" s="458"/>
      <c r="J176" s="463">
        <f t="shared" si="1"/>
        <v>0</v>
      </c>
      <c r="K176" s="464">
        <f t="shared" si="2"/>
        <v>0</v>
      </c>
      <c r="L176" s="473"/>
      <c r="M176" s="458"/>
      <c r="N176" s="463">
        <f t="shared" si="3"/>
        <v>0</v>
      </c>
      <c r="O176" s="464">
        <f t="shared" si="4"/>
        <v>0</v>
      </c>
      <c r="P176" s="473"/>
      <c r="Q176" s="458"/>
      <c r="R176" s="463">
        <f t="shared" si="5"/>
        <v>0</v>
      </c>
      <c r="S176" s="464">
        <f t="shared" si="6"/>
        <v>0</v>
      </c>
      <c r="T176" s="473"/>
      <c r="U176" s="458"/>
      <c r="V176" s="463">
        <f t="shared" si="7"/>
        <v>0</v>
      </c>
      <c r="W176" s="464">
        <f t="shared" si="8"/>
        <v>0</v>
      </c>
      <c r="X176" s="459"/>
    </row>
    <row r="177" spans="2:24" ht="15.6">
      <c r="B177" s="183" t="s">
        <v>429</v>
      </c>
      <c r="C177" s="184" t="s">
        <v>721</v>
      </c>
      <c r="D177" s="185" t="s">
        <v>580</v>
      </c>
      <c r="E177" s="185" t="s">
        <v>26</v>
      </c>
      <c r="F177" s="98"/>
      <c r="G177" s="263">
        <v>16.95</v>
      </c>
      <c r="H177" s="457">
        <f t="shared" ref="H177:H274" si="355">F177*G177</f>
        <v>0</v>
      </c>
      <c r="I177" s="458"/>
      <c r="J177" s="463">
        <f t="shared" ref="J177:J274" si="356">I177+F177</f>
        <v>0</v>
      </c>
      <c r="K177" s="464">
        <f t="shared" ref="K177:K274" si="357">J177*G177</f>
        <v>0</v>
      </c>
      <c r="L177" s="473"/>
      <c r="M177" s="458"/>
      <c r="N177" s="463">
        <f t="shared" ref="N177:N274" si="358">M177+J177</f>
        <v>0</v>
      </c>
      <c r="O177" s="464">
        <f t="shared" ref="O177:O274" si="359">N177*G177</f>
        <v>0</v>
      </c>
      <c r="P177" s="473"/>
      <c r="Q177" s="458"/>
      <c r="R177" s="463">
        <f t="shared" ref="R177:R274" si="360">Q177+N177</f>
        <v>0</v>
      </c>
      <c r="S177" s="464">
        <f t="shared" ref="S177:S274" si="361">R177*G177</f>
        <v>0</v>
      </c>
      <c r="T177" s="473"/>
      <c r="U177" s="458"/>
      <c r="V177" s="463">
        <f>U177+R177</f>
        <v>0</v>
      </c>
      <c r="W177" s="464">
        <f>V177*G177</f>
        <v>0</v>
      </c>
      <c r="X177" s="459"/>
    </row>
    <row r="178" spans="2:24" ht="15.6">
      <c r="B178" s="183" t="s">
        <v>429</v>
      </c>
      <c r="C178" s="442" t="s">
        <v>732</v>
      </c>
      <c r="D178" s="444" t="s">
        <v>733</v>
      </c>
      <c r="E178" s="185" t="s">
        <v>26</v>
      </c>
      <c r="F178" s="445"/>
      <c r="G178" s="446">
        <v>27.68</v>
      </c>
      <c r="H178" s="457">
        <f t="shared" ref="H178" si="362">F178*G178</f>
        <v>0</v>
      </c>
      <c r="I178" s="458"/>
      <c r="J178" s="463">
        <f t="shared" ref="J178" si="363">I178+F178</f>
        <v>0</v>
      </c>
      <c r="K178" s="464">
        <f t="shared" ref="K178" si="364">J178*G178</f>
        <v>0</v>
      </c>
      <c r="L178" s="473"/>
      <c r="M178" s="458"/>
      <c r="N178" s="463">
        <f t="shared" ref="N178" si="365">M178+J178</f>
        <v>0</v>
      </c>
      <c r="O178" s="464">
        <f t="shared" ref="O178" si="366">N178*G178</f>
        <v>0</v>
      </c>
      <c r="P178" s="473"/>
      <c r="Q178" s="458"/>
      <c r="R178" s="463">
        <f t="shared" ref="R178" si="367">Q178+N178</f>
        <v>0</v>
      </c>
      <c r="S178" s="464">
        <f t="shared" ref="S178" si="368">R178*G178</f>
        <v>0</v>
      </c>
      <c r="T178" s="473"/>
      <c r="U178" s="458"/>
      <c r="V178" s="463">
        <f t="shared" ref="V178" si="369">U178+R178</f>
        <v>0</v>
      </c>
      <c r="W178" s="464">
        <f t="shared" ref="W178" si="370">V178*G178</f>
        <v>0</v>
      </c>
      <c r="X178" s="459"/>
    </row>
    <row r="179" spans="2:24" ht="15.6">
      <c r="B179" s="183" t="s">
        <v>429</v>
      </c>
      <c r="C179" s="442" t="s">
        <v>738</v>
      </c>
      <c r="D179" s="444" t="s">
        <v>739</v>
      </c>
      <c r="E179" s="185" t="s">
        <v>26</v>
      </c>
      <c r="F179" s="445"/>
      <c r="G179" s="446">
        <v>13.4</v>
      </c>
      <c r="H179" s="457">
        <f t="shared" ref="H179:H180" si="371">F179*G179</f>
        <v>0</v>
      </c>
      <c r="I179" s="458"/>
      <c r="J179" s="463">
        <f t="shared" ref="J179:J180" si="372">I179+F179</f>
        <v>0</v>
      </c>
      <c r="K179" s="464">
        <f t="shared" ref="K179:K180" si="373">J179*G179</f>
        <v>0</v>
      </c>
      <c r="L179" s="473"/>
      <c r="M179" s="458"/>
      <c r="N179" s="463">
        <f t="shared" ref="N179:N180" si="374">M179+J179</f>
        <v>0</v>
      </c>
      <c r="O179" s="464">
        <f t="shared" ref="O179:O180" si="375">N179*G179</f>
        <v>0</v>
      </c>
      <c r="P179" s="473"/>
      <c r="Q179" s="458"/>
      <c r="R179" s="463">
        <f t="shared" ref="R179:R180" si="376">Q179+N179</f>
        <v>0</v>
      </c>
      <c r="S179" s="464">
        <f t="shared" ref="S179:S180" si="377">R179*G179</f>
        <v>0</v>
      </c>
      <c r="T179" s="473"/>
      <c r="U179" s="458"/>
      <c r="V179" s="463">
        <f t="shared" ref="V179:V180" si="378">U179+R179</f>
        <v>0</v>
      </c>
      <c r="W179" s="464">
        <f t="shared" ref="W179:W180" si="379">V179*G179</f>
        <v>0</v>
      </c>
      <c r="X179" s="459"/>
    </row>
    <row r="180" spans="2:24" ht="15.6">
      <c r="B180" s="183" t="s">
        <v>429</v>
      </c>
      <c r="C180" s="184" t="s">
        <v>734</v>
      </c>
      <c r="D180" s="185" t="s">
        <v>736</v>
      </c>
      <c r="E180" s="185" t="s">
        <v>26</v>
      </c>
      <c r="F180" s="98"/>
      <c r="G180" s="263">
        <v>11.65</v>
      </c>
      <c r="H180" s="457">
        <f t="shared" si="371"/>
        <v>0</v>
      </c>
      <c r="I180" s="458"/>
      <c r="J180" s="463">
        <f t="shared" si="372"/>
        <v>0</v>
      </c>
      <c r="K180" s="464">
        <f t="shared" si="373"/>
        <v>0</v>
      </c>
      <c r="L180" s="473"/>
      <c r="M180" s="458"/>
      <c r="N180" s="463">
        <f t="shared" si="374"/>
        <v>0</v>
      </c>
      <c r="O180" s="464">
        <f t="shared" si="375"/>
        <v>0</v>
      </c>
      <c r="P180" s="473"/>
      <c r="Q180" s="458"/>
      <c r="R180" s="463">
        <f t="shared" si="376"/>
        <v>0</v>
      </c>
      <c r="S180" s="464">
        <f t="shared" si="377"/>
        <v>0</v>
      </c>
      <c r="T180" s="473"/>
      <c r="U180" s="458"/>
      <c r="V180" s="463">
        <f t="shared" si="378"/>
        <v>0</v>
      </c>
      <c r="W180" s="464">
        <f t="shared" si="379"/>
        <v>0</v>
      </c>
      <c r="X180" s="459"/>
    </row>
    <row r="181" spans="2:24" ht="15.6">
      <c r="B181" s="183" t="s">
        <v>429</v>
      </c>
      <c r="C181" s="442" t="s">
        <v>735</v>
      </c>
      <c r="D181" s="444" t="s">
        <v>737</v>
      </c>
      <c r="E181" s="185" t="s">
        <v>26</v>
      </c>
      <c r="F181" s="445"/>
      <c r="G181" s="446">
        <v>9.08</v>
      </c>
      <c r="H181" s="457">
        <f t="shared" ref="H181:H203" si="380">F181*G181</f>
        <v>0</v>
      </c>
      <c r="I181" s="458"/>
      <c r="J181" s="463">
        <f t="shared" ref="J181:J203" si="381">I181+F181</f>
        <v>0</v>
      </c>
      <c r="K181" s="464">
        <f t="shared" ref="K181:K203" si="382">J181*G181</f>
        <v>0</v>
      </c>
      <c r="L181" s="473"/>
      <c r="M181" s="458"/>
      <c r="N181" s="463">
        <f t="shared" ref="N181:N203" si="383">M181+J181</f>
        <v>0</v>
      </c>
      <c r="O181" s="464">
        <f t="shared" ref="O181:O203" si="384">N181*G181</f>
        <v>0</v>
      </c>
      <c r="P181" s="473"/>
      <c r="Q181" s="458"/>
      <c r="R181" s="463">
        <f t="shared" ref="R181:R203" si="385">Q181+N181</f>
        <v>0</v>
      </c>
      <c r="S181" s="464">
        <f t="shared" ref="S181:S203" si="386">R181*G181</f>
        <v>0</v>
      </c>
      <c r="T181" s="473"/>
      <c r="U181" s="458"/>
      <c r="V181" s="463">
        <f t="shared" ref="V181:V203" si="387">U181+R181</f>
        <v>0</v>
      </c>
      <c r="W181" s="464">
        <f t="shared" ref="W181:W203" si="388">V181*G181</f>
        <v>0</v>
      </c>
      <c r="X181" s="459"/>
    </row>
    <row r="182" spans="2:24" ht="15.6">
      <c r="B182" s="183" t="s">
        <v>429</v>
      </c>
      <c r="C182" s="840" t="s">
        <v>1128</v>
      </c>
      <c r="D182" s="611" t="s">
        <v>1108</v>
      </c>
      <c r="E182" s="185" t="s">
        <v>26</v>
      </c>
      <c r="F182" s="838"/>
      <c r="G182" s="839">
        <v>92</v>
      </c>
      <c r="H182" s="457">
        <f t="shared" ref="H182:H202" si="389">F182*G182</f>
        <v>0</v>
      </c>
      <c r="I182" s="458"/>
      <c r="J182" s="463">
        <f t="shared" ref="J182:J202" si="390">I182+F182</f>
        <v>0</v>
      </c>
      <c r="K182" s="464">
        <f t="shared" ref="K182:K202" si="391">J182*G182</f>
        <v>0</v>
      </c>
      <c r="L182" s="473"/>
      <c r="M182" s="458"/>
      <c r="N182" s="463">
        <f t="shared" ref="N182:N202" si="392">M182+J182</f>
        <v>0</v>
      </c>
      <c r="O182" s="464">
        <f t="shared" ref="O182:O202" si="393">N182*G182</f>
        <v>0</v>
      </c>
      <c r="P182" s="473"/>
      <c r="Q182" s="458"/>
      <c r="R182" s="463">
        <f t="shared" ref="R182:R202" si="394">Q182+N182</f>
        <v>0</v>
      </c>
      <c r="S182" s="464">
        <f t="shared" ref="S182:S202" si="395">R182*G182</f>
        <v>0</v>
      </c>
      <c r="T182" s="473"/>
      <c r="U182" s="458"/>
      <c r="V182" s="463">
        <f t="shared" ref="V182:V202" si="396">U182+R182</f>
        <v>0</v>
      </c>
      <c r="W182" s="464">
        <f t="shared" ref="W182:W202" si="397">V182*G182</f>
        <v>0</v>
      </c>
      <c r="X182" s="459"/>
    </row>
    <row r="183" spans="2:24" ht="15.6">
      <c r="B183" s="183" t="s">
        <v>429</v>
      </c>
      <c r="C183" s="840" t="s">
        <v>1129</v>
      </c>
      <c r="D183" s="611" t="s">
        <v>1109</v>
      </c>
      <c r="E183" s="185" t="s">
        <v>26</v>
      </c>
      <c r="F183" s="838"/>
      <c r="G183" s="839">
        <v>102.35</v>
      </c>
      <c r="H183" s="457">
        <f t="shared" si="389"/>
        <v>0</v>
      </c>
      <c r="I183" s="458"/>
      <c r="J183" s="463">
        <f t="shared" si="390"/>
        <v>0</v>
      </c>
      <c r="K183" s="464">
        <f t="shared" si="391"/>
        <v>0</v>
      </c>
      <c r="L183" s="473"/>
      <c r="M183" s="458"/>
      <c r="N183" s="463">
        <f t="shared" si="392"/>
        <v>0</v>
      </c>
      <c r="O183" s="464">
        <f t="shared" si="393"/>
        <v>0</v>
      </c>
      <c r="P183" s="473"/>
      <c r="Q183" s="458"/>
      <c r="R183" s="463">
        <f t="shared" si="394"/>
        <v>0</v>
      </c>
      <c r="S183" s="464">
        <f t="shared" si="395"/>
        <v>0</v>
      </c>
      <c r="T183" s="473"/>
      <c r="U183" s="458"/>
      <c r="V183" s="463">
        <f t="shared" si="396"/>
        <v>0</v>
      </c>
      <c r="W183" s="464">
        <f t="shared" si="397"/>
        <v>0</v>
      </c>
      <c r="X183" s="459"/>
    </row>
    <row r="184" spans="2:24" ht="15.6">
      <c r="B184" s="183" t="s">
        <v>429</v>
      </c>
      <c r="C184" s="840" t="s">
        <v>1130</v>
      </c>
      <c r="D184" s="611" t="s">
        <v>1110</v>
      </c>
      <c r="E184" s="185" t="s">
        <v>26</v>
      </c>
      <c r="F184" s="838"/>
      <c r="G184" s="839">
        <v>82.5</v>
      </c>
      <c r="H184" s="457">
        <f t="shared" si="389"/>
        <v>0</v>
      </c>
      <c r="I184" s="458"/>
      <c r="J184" s="463">
        <f t="shared" si="390"/>
        <v>0</v>
      </c>
      <c r="K184" s="464">
        <f t="shared" si="391"/>
        <v>0</v>
      </c>
      <c r="L184" s="473"/>
      <c r="M184" s="458"/>
      <c r="N184" s="463">
        <f t="shared" si="392"/>
        <v>0</v>
      </c>
      <c r="O184" s="464">
        <f t="shared" si="393"/>
        <v>0</v>
      </c>
      <c r="P184" s="473"/>
      <c r="Q184" s="458"/>
      <c r="R184" s="463">
        <f t="shared" si="394"/>
        <v>0</v>
      </c>
      <c r="S184" s="464">
        <f t="shared" si="395"/>
        <v>0</v>
      </c>
      <c r="T184" s="473"/>
      <c r="U184" s="458"/>
      <c r="V184" s="463">
        <f t="shared" si="396"/>
        <v>0</v>
      </c>
      <c r="W184" s="464">
        <f t="shared" si="397"/>
        <v>0</v>
      </c>
      <c r="X184" s="459"/>
    </row>
    <row r="185" spans="2:24" ht="15.6">
      <c r="B185" s="183" t="s">
        <v>429</v>
      </c>
      <c r="C185" s="840" t="s">
        <v>1131</v>
      </c>
      <c r="D185" s="611" t="s">
        <v>1111</v>
      </c>
      <c r="E185" s="185" t="s">
        <v>26</v>
      </c>
      <c r="F185" s="838"/>
      <c r="G185" s="839">
        <v>121.35</v>
      </c>
      <c r="H185" s="457">
        <f t="shared" si="389"/>
        <v>0</v>
      </c>
      <c r="I185" s="458"/>
      <c r="J185" s="463">
        <f t="shared" si="390"/>
        <v>0</v>
      </c>
      <c r="K185" s="464">
        <f t="shared" si="391"/>
        <v>0</v>
      </c>
      <c r="L185" s="473"/>
      <c r="M185" s="458"/>
      <c r="N185" s="463">
        <f t="shared" si="392"/>
        <v>0</v>
      </c>
      <c r="O185" s="464">
        <f t="shared" si="393"/>
        <v>0</v>
      </c>
      <c r="P185" s="473"/>
      <c r="Q185" s="458"/>
      <c r="R185" s="463">
        <f t="shared" si="394"/>
        <v>0</v>
      </c>
      <c r="S185" s="464">
        <f t="shared" si="395"/>
        <v>0</v>
      </c>
      <c r="T185" s="473"/>
      <c r="U185" s="458"/>
      <c r="V185" s="463">
        <f t="shared" si="396"/>
        <v>0</v>
      </c>
      <c r="W185" s="464">
        <f t="shared" si="397"/>
        <v>0</v>
      </c>
      <c r="X185" s="459"/>
    </row>
    <row r="186" spans="2:24" ht="15.6">
      <c r="B186" s="183" t="s">
        <v>429</v>
      </c>
      <c r="C186" s="840" t="s">
        <v>1132</v>
      </c>
      <c r="D186" s="611" t="s">
        <v>1112</v>
      </c>
      <c r="E186" s="185" t="s">
        <v>26</v>
      </c>
      <c r="F186" s="838"/>
      <c r="G186" s="568">
        <v>151.85</v>
      </c>
      <c r="H186" s="457">
        <f t="shared" si="389"/>
        <v>0</v>
      </c>
      <c r="I186" s="458"/>
      <c r="J186" s="463">
        <f t="shared" si="390"/>
        <v>0</v>
      </c>
      <c r="K186" s="464">
        <f t="shared" si="391"/>
        <v>0</v>
      </c>
      <c r="L186" s="473"/>
      <c r="M186" s="458"/>
      <c r="N186" s="463">
        <f t="shared" si="392"/>
        <v>0</v>
      </c>
      <c r="O186" s="464">
        <f t="shared" si="393"/>
        <v>0</v>
      </c>
      <c r="P186" s="473"/>
      <c r="Q186" s="458"/>
      <c r="R186" s="463">
        <f t="shared" si="394"/>
        <v>0</v>
      </c>
      <c r="S186" s="464">
        <f t="shared" si="395"/>
        <v>0</v>
      </c>
      <c r="T186" s="473"/>
      <c r="U186" s="458"/>
      <c r="V186" s="463">
        <f t="shared" si="396"/>
        <v>0</v>
      </c>
      <c r="W186" s="464">
        <f t="shared" si="397"/>
        <v>0</v>
      </c>
      <c r="X186" s="459"/>
    </row>
    <row r="187" spans="2:24" ht="15.6">
      <c r="B187" s="183" t="s">
        <v>429</v>
      </c>
      <c r="C187" s="840" t="s">
        <v>1133</v>
      </c>
      <c r="D187" s="611" t="s">
        <v>1113</v>
      </c>
      <c r="E187" s="185" t="s">
        <v>26</v>
      </c>
      <c r="F187" s="838"/>
      <c r="G187" s="839">
        <v>75.89</v>
      </c>
      <c r="H187" s="457">
        <f t="shared" si="389"/>
        <v>0</v>
      </c>
      <c r="I187" s="458"/>
      <c r="J187" s="463">
        <f t="shared" si="390"/>
        <v>0</v>
      </c>
      <c r="K187" s="464">
        <f t="shared" si="391"/>
        <v>0</v>
      </c>
      <c r="L187" s="473"/>
      <c r="M187" s="458"/>
      <c r="N187" s="463">
        <f t="shared" si="392"/>
        <v>0</v>
      </c>
      <c r="O187" s="464">
        <f t="shared" si="393"/>
        <v>0</v>
      </c>
      <c r="P187" s="473"/>
      <c r="Q187" s="458"/>
      <c r="R187" s="463">
        <f t="shared" si="394"/>
        <v>0</v>
      </c>
      <c r="S187" s="464">
        <f t="shared" si="395"/>
        <v>0</v>
      </c>
      <c r="T187" s="473"/>
      <c r="U187" s="458"/>
      <c r="V187" s="463">
        <f t="shared" si="396"/>
        <v>0</v>
      </c>
      <c r="W187" s="464">
        <f t="shared" si="397"/>
        <v>0</v>
      </c>
      <c r="X187" s="459"/>
    </row>
    <row r="188" spans="2:24" ht="15.6">
      <c r="B188" s="183" t="s">
        <v>429</v>
      </c>
      <c r="C188" s="840" t="s">
        <v>1134</v>
      </c>
      <c r="D188" s="611" t="s">
        <v>1114</v>
      </c>
      <c r="E188" s="185" t="s">
        <v>26</v>
      </c>
      <c r="F188" s="838"/>
      <c r="G188" s="839">
        <v>106.12</v>
      </c>
      <c r="H188" s="457">
        <f t="shared" si="389"/>
        <v>0</v>
      </c>
      <c r="I188" s="458"/>
      <c r="J188" s="463">
        <f t="shared" si="390"/>
        <v>0</v>
      </c>
      <c r="K188" s="464">
        <f t="shared" si="391"/>
        <v>0</v>
      </c>
      <c r="L188" s="473"/>
      <c r="M188" s="458"/>
      <c r="N188" s="463">
        <f t="shared" si="392"/>
        <v>0</v>
      </c>
      <c r="O188" s="464">
        <f t="shared" si="393"/>
        <v>0</v>
      </c>
      <c r="P188" s="473"/>
      <c r="Q188" s="458"/>
      <c r="R188" s="463">
        <f t="shared" si="394"/>
        <v>0</v>
      </c>
      <c r="S188" s="464">
        <f t="shared" si="395"/>
        <v>0</v>
      </c>
      <c r="T188" s="473"/>
      <c r="U188" s="458"/>
      <c r="V188" s="463">
        <f t="shared" si="396"/>
        <v>0</v>
      </c>
      <c r="W188" s="464">
        <f t="shared" si="397"/>
        <v>0</v>
      </c>
      <c r="X188" s="459"/>
    </row>
    <row r="189" spans="2:24" ht="15.6">
      <c r="B189" s="183" t="s">
        <v>429</v>
      </c>
      <c r="C189" s="840" t="s">
        <v>1135</v>
      </c>
      <c r="D189" s="611" t="s">
        <v>1115</v>
      </c>
      <c r="E189" s="185" t="s">
        <v>26</v>
      </c>
      <c r="F189" s="838"/>
      <c r="G189" s="839">
        <v>194.5</v>
      </c>
      <c r="H189" s="457">
        <f t="shared" si="389"/>
        <v>0</v>
      </c>
      <c r="I189" s="458"/>
      <c r="J189" s="463">
        <f t="shared" si="390"/>
        <v>0</v>
      </c>
      <c r="K189" s="464">
        <f t="shared" si="391"/>
        <v>0</v>
      </c>
      <c r="L189" s="473"/>
      <c r="M189" s="458"/>
      <c r="N189" s="463">
        <f t="shared" si="392"/>
        <v>0</v>
      </c>
      <c r="O189" s="464">
        <f t="shared" si="393"/>
        <v>0</v>
      </c>
      <c r="P189" s="473"/>
      <c r="Q189" s="458"/>
      <c r="R189" s="463">
        <f t="shared" si="394"/>
        <v>0</v>
      </c>
      <c r="S189" s="464">
        <f t="shared" si="395"/>
        <v>0</v>
      </c>
      <c r="T189" s="473"/>
      <c r="U189" s="458"/>
      <c r="V189" s="463">
        <f t="shared" si="396"/>
        <v>0</v>
      </c>
      <c r="W189" s="464">
        <f t="shared" si="397"/>
        <v>0</v>
      </c>
      <c r="X189" s="459"/>
    </row>
    <row r="190" spans="2:24" ht="15.6">
      <c r="B190" s="183" t="s">
        <v>429</v>
      </c>
      <c r="C190" s="840" t="s">
        <v>1136</v>
      </c>
      <c r="D190" s="611" t="s">
        <v>1116</v>
      </c>
      <c r="E190" s="185" t="s">
        <v>26</v>
      </c>
      <c r="F190" s="838"/>
      <c r="G190" s="839">
        <v>255</v>
      </c>
      <c r="H190" s="457">
        <f t="shared" si="389"/>
        <v>0</v>
      </c>
      <c r="I190" s="458"/>
      <c r="J190" s="463">
        <f t="shared" si="390"/>
        <v>0</v>
      </c>
      <c r="K190" s="464">
        <f t="shared" si="391"/>
        <v>0</v>
      </c>
      <c r="L190" s="473"/>
      <c r="M190" s="458"/>
      <c r="N190" s="463">
        <f t="shared" si="392"/>
        <v>0</v>
      </c>
      <c r="O190" s="464">
        <f t="shared" si="393"/>
        <v>0</v>
      </c>
      <c r="P190" s="473"/>
      <c r="Q190" s="458"/>
      <c r="R190" s="463">
        <f t="shared" si="394"/>
        <v>0</v>
      </c>
      <c r="S190" s="464">
        <f t="shared" si="395"/>
        <v>0</v>
      </c>
      <c r="T190" s="473"/>
      <c r="U190" s="458"/>
      <c r="V190" s="463">
        <f t="shared" si="396"/>
        <v>0</v>
      </c>
      <c r="W190" s="464">
        <f t="shared" si="397"/>
        <v>0</v>
      </c>
      <c r="X190" s="459"/>
    </row>
    <row r="191" spans="2:24" ht="15.6">
      <c r="B191" s="183" t="s">
        <v>429</v>
      </c>
      <c r="C191" s="840" t="s">
        <v>1137</v>
      </c>
      <c r="D191" s="611" t="s">
        <v>1117</v>
      </c>
      <c r="E191" s="185" t="s">
        <v>26</v>
      </c>
      <c r="F191" s="838"/>
      <c r="G191" s="839">
        <v>230</v>
      </c>
      <c r="H191" s="457">
        <f t="shared" si="389"/>
        <v>0</v>
      </c>
      <c r="I191" s="458"/>
      <c r="J191" s="463">
        <f t="shared" si="390"/>
        <v>0</v>
      </c>
      <c r="K191" s="464">
        <f t="shared" si="391"/>
        <v>0</v>
      </c>
      <c r="L191" s="473"/>
      <c r="M191" s="458"/>
      <c r="N191" s="463">
        <f t="shared" si="392"/>
        <v>0</v>
      </c>
      <c r="O191" s="464">
        <f t="shared" si="393"/>
        <v>0</v>
      </c>
      <c r="P191" s="473"/>
      <c r="Q191" s="458"/>
      <c r="R191" s="463">
        <f t="shared" si="394"/>
        <v>0</v>
      </c>
      <c r="S191" s="464">
        <f t="shared" si="395"/>
        <v>0</v>
      </c>
      <c r="T191" s="473"/>
      <c r="U191" s="458"/>
      <c r="V191" s="463">
        <f t="shared" si="396"/>
        <v>0</v>
      </c>
      <c r="W191" s="464">
        <f t="shared" si="397"/>
        <v>0</v>
      </c>
      <c r="X191" s="459"/>
    </row>
    <row r="192" spans="2:24" ht="15.6">
      <c r="B192" s="183" t="s">
        <v>429</v>
      </c>
      <c r="C192" s="840" t="s">
        <v>1138</v>
      </c>
      <c r="D192" s="611" t="s">
        <v>1118</v>
      </c>
      <c r="E192" s="185" t="s">
        <v>26</v>
      </c>
      <c r="F192" s="838"/>
      <c r="G192" s="568">
        <v>85.44</v>
      </c>
      <c r="H192" s="457">
        <f t="shared" si="389"/>
        <v>0</v>
      </c>
      <c r="I192" s="458"/>
      <c r="J192" s="463">
        <f t="shared" si="390"/>
        <v>0</v>
      </c>
      <c r="K192" s="464">
        <f t="shared" si="391"/>
        <v>0</v>
      </c>
      <c r="L192" s="473"/>
      <c r="M192" s="458"/>
      <c r="N192" s="463">
        <f t="shared" si="392"/>
        <v>0</v>
      </c>
      <c r="O192" s="464">
        <f t="shared" si="393"/>
        <v>0</v>
      </c>
      <c r="P192" s="473"/>
      <c r="Q192" s="458"/>
      <c r="R192" s="463">
        <f t="shared" si="394"/>
        <v>0</v>
      </c>
      <c r="S192" s="464">
        <f t="shared" si="395"/>
        <v>0</v>
      </c>
      <c r="T192" s="473"/>
      <c r="U192" s="458"/>
      <c r="V192" s="463">
        <f t="shared" si="396"/>
        <v>0</v>
      </c>
      <c r="W192" s="464">
        <f t="shared" si="397"/>
        <v>0</v>
      </c>
      <c r="X192" s="459"/>
    </row>
    <row r="193" spans="2:24" ht="15.6">
      <c r="B193" s="183" t="s">
        <v>429</v>
      </c>
      <c r="C193" s="840" t="s">
        <v>1139</v>
      </c>
      <c r="D193" s="611" t="s">
        <v>1119</v>
      </c>
      <c r="E193" s="185" t="s">
        <v>26</v>
      </c>
      <c r="F193" s="838"/>
      <c r="G193" s="839">
        <v>102.35</v>
      </c>
      <c r="H193" s="457">
        <f t="shared" si="389"/>
        <v>0</v>
      </c>
      <c r="I193" s="458"/>
      <c r="J193" s="463">
        <f t="shared" si="390"/>
        <v>0</v>
      </c>
      <c r="K193" s="464">
        <f t="shared" si="391"/>
        <v>0</v>
      </c>
      <c r="L193" s="473"/>
      <c r="M193" s="458"/>
      <c r="N193" s="463">
        <f t="shared" si="392"/>
        <v>0</v>
      </c>
      <c r="O193" s="464">
        <f t="shared" si="393"/>
        <v>0</v>
      </c>
      <c r="P193" s="473"/>
      <c r="Q193" s="458"/>
      <c r="R193" s="463">
        <f t="shared" si="394"/>
        <v>0</v>
      </c>
      <c r="S193" s="464">
        <f t="shared" si="395"/>
        <v>0</v>
      </c>
      <c r="T193" s="473"/>
      <c r="U193" s="458"/>
      <c r="V193" s="463">
        <f t="shared" si="396"/>
        <v>0</v>
      </c>
      <c r="W193" s="464">
        <f t="shared" si="397"/>
        <v>0</v>
      </c>
      <c r="X193" s="459"/>
    </row>
    <row r="194" spans="2:24" ht="15.6">
      <c r="B194" s="183" t="s">
        <v>429</v>
      </c>
      <c r="C194" s="840" t="s">
        <v>1140</v>
      </c>
      <c r="D194" s="611" t="s">
        <v>1120</v>
      </c>
      <c r="E194" s="185" t="s">
        <v>26</v>
      </c>
      <c r="F194" s="838"/>
      <c r="G194" s="839">
        <v>105.85</v>
      </c>
      <c r="H194" s="457">
        <f t="shared" si="389"/>
        <v>0</v>
      </c>
      <c r="I194" s="458"/>
      <c r="J194" s="463">
        <f t="shared" si="390"/>
        <v>0</v>
      </c>
      <c r="K194" s="464">
        <f t="shared" si="391"/>
        <v>0</v>
      </c>
      <c r="L194" s="473"/>
      <c r="M194" s="458"/>
      <c r="N194" s="463">
        <f t="shared" si="392"/>
        <v>0</v>
      </c>
      <c r="O194" s="464">
        <f t="shared" si="393"/>
        <v>0</v>
      </c>
      <c r="P194" s="473"/>
      <c r="Q194" s="458"/>
      <c r="R194" s="463">
        <f t="shared" si="394"/>
        <v>0</v>
      </c>
      <c r="S194" s="464">
        <f t="shared" si="395"/>
        <v>0</v>
      </c>
      <c r="T194" s="473"/>
      <c r="U194" s="458"/>
      <c r="V194" s="463">
        <f t="shared" si="396"/>
        <v>0</v>
      </c>
      <c r="W194" s="464">
        <f t="shared" si="397"/>
        <v>0</v>
      </c>
      <c r="X194" s="459"/>
    </row>
    <row r="195" spans="2:24" ht="15.6">
      <c r="B195" s="183" t="s">
        <v>429</v>
      </c>
      <c r="C195" s="840" t="s">
        <v>1141</v>
      </c>
      <c r="D195" s="611" t="s">
        <v>1121</v>
      </c>
      <c r="E195" s="185" t="s">
        <v>26</v>
      </c>
      <c r="F195" s="838"/>
      <c r="G195" s="839">
        <v>149.69999999999999</v>
      </c>
      <c r="H195" s="457">
        <f t="shared" si="389"/>
        <v>0</v>
      </c>
      <c r="I195" s="458"/>
      <c r="J195" s="463">
        <f t="shared" si="390"/>
        <v>0</v>
      </c>
      <c r="K195" s="464">
        <f t="shared" si="391"/>
        <v>0</v>
      </c>
      <c r="L195" s="473"/>
      <c r="M195" s="458"/>
      <c r="N195" s="463">
        <f t="shared" si="392"/>
        <v>0</v>
      </c>
      <c r="O195" s="464">
        <f t="shared" si="393"/>
        <v>0</v>
      </c>
      <c r="P195" s="473"/>
      <c r="Q195" s="458"/>
      <c r="R195" s="463">
        <f t="shared" si="394"/>
        <v>0</v>
      </c>
      <c r="S195" s="464">
        <f t="shared" si="395"/>
        <v>0</v>
      </c>
      <c r="T195" s="473"/>
      <c r="U195" s="458"/>
      <c r="V195" s="463">
        <f t="shared" si="396"/>
        <v>0</v>
      </c>
      <c r="W195" s="464">
        <f t="shared" si="397"/>
        <v>0</v>
      </c>
      <c r="X195" s="459"/>
    </row>
    <row r="196" spans="2:24" ht="15.6">
      <c r="B196" s="183" t="s">
        <v>429</v>
      </c>
      <c r="C196" s="840" t="s">
        <v>1142</v>
      </c>
      <c r="D196" s="611" t="s">
        <v>1122</v>
      </c>
      <c r="E196" s="185" t="s">
        <v>26</v>
      </c>
      <c r="F196" s="838"/>
      <c r="G196" s="839">
        <v>182.77</v>
      </c>
      <c r="H196" s="457">
        <f t="shared" si="389"/>
        <v>0</v>
      </c>
      <c r="I196" s="458"/>
      <c r="J196" s="463">
        <f t="shared" si="390"/>
        <v>0</v>
      </c>
      <c r="K196" s="464">
        <f t="shared" si="391"/>
        <v>0</v>
      </c>
      <c r="L196" s="473"/>
      <c r="M196" s="458"/>
      <c r="N196" s="463">
        <f t="shared" si="392"/>
        <v>0</v>
      </c>
      <c r="O196" s="464">
        <f t="shared" si="393"/>
        <v>0</v>
      </c>
      <c r="P196" s="473"/>
      <c r="Q196" s="458"/>
      <c r="R196" s="463">
        <f t="shared" si="394"/>
        <v>0</v>
      </c>
      <c r="S196" s="464">
        <f t="shared" si="395"/>
        <v>0</v>
      </c>
      <c r="T196" s="473"/>
      <c r="U196" s="458"/>
      <c r="V196" s="463">
        <f t="shared" si="396"/>
        <v>0</v>
      </c>
      <c r="W196" s="464">
        <f t="shared" si="397"/>
        <v>0</v>
      </c>
      <c r="X196" s="459"/>
    </row>
    <row r="197" spans="2:24" ht="15.6">
      <c r="B197" s="183" t="s">
        <v>429</v>
      </c>
      <c r="C197" s="840" t="s">
        <v>1143</v>
      </c>
      <c r="D197" s="611" t="s">
        <v>1123</v>
      </c>
      <c r="E197" s="185" t="s">
        <v>26</v>
      </c>
      <c r="F197" s="838"/>
      <c r="G197" s="568">
        <v>95</v>
      </c>
      <c r="H197" s="457">
        <f t="shared" si="389"/>
        <v>0</v>
      </c>
      <c r="I197" s="458"/>
      <c r="J197" s="463">
        <f t="shared" si="390"/>
        <v>0</v>
      </c>
      <c r="K197" s="464">
        <f t="shared" si="391"/>
        <v>0</v>
      </c>
      <c r="L197" s="473"/>
      <c r="M197" s="458"/>
      <c r="N197" s="463">
        <f t="shared" si="392"/>
        <v>0</v>
      </c>
      <c r="O197" s="464">
        <f t="shared" si="393"/>
        <v>0</v>
      </c>
      <c r="P197" s="473"/>
      <c r="Q197" s="458"/>
      <c r="R197" s="463">
        <f t="shared" si="394"/>
        <v>0</v>
      </c>
      <c r="S197" s="464">
        <f t="shared" si="395"/>
        <v>0</v>
      </c>
      <c r="T197" s="473"/>
      <c r="U197" s="458"/>
      <c r="V197" s="463">
        <f t="shared" si="396"/>
        <v>0</v>
      </c>
      <c r="W197" s="464">
        <f t="shared" si="397"/>
        <v>0</v>
      </c>
      <c r="X197" s="459"/>
    </row>
    <row r="198" spans="2:24" ht="15.6">
      <c r="B198" s="183" t="s">
        <v>429</v>
      </c>
      <c r="C198" s="840" t="s">
        <v>1144</v>
      </c>
      <c r="D198" s="611" t="s">
        <v>1124</v>
      </c>
      <c r="E198" s="185" t="s">
        <v>26</v>
      </c>
      <c r="F198" s="838"/>
      <c r="G198" s="568">
        <v>106.12</v>
      </c>
      <c r="H198" s="457">
        <f t="shared" si="389"/>
        <v>0</v>
      </c>
      <c r="I198" s="458"/>
      <c r="J198" s="463">
        <f t="shared" si="390"/>
        <v>0</v>
      </c>
      <c r="K198" s="464">
        <f t="shared" si="391"/>
        <v>0</v>
      </c>
      <c r="L198" s="473"/>
      <c r="M198" s="458"/>
      <c r="N198" s="463">
        <f t="shared" si="392"/>
        <v>0</v>
      </c>
      <c r="O198" s="464">
        <f t="shared" si="393"/>
        <v>0</v>
      </c>
      <c r="P198" s="473"/>
      <c r="Q198" s="458"/>
      <c r="R198" s="463">
        <f t="shared" si="394"/>
        <v>0</v>
      </c>
      <c r="S198" s="464">
        <f t="shared" si="395"/>
        <v>0</v>
      </c>
      <c r="T198" s="473"/>
      <c r="U198" s="458"/>
      <c r="V198" s="463">
        <f t="shared" si="396"/>
        <v>0</v>
      </c>
      <c r="W198" s="464">
        <f t="shared" si="397"/>
        <v>0</v>
      </c>
      <c r="X198" s="459"/>
    </row>
    <row r="199" spans="2:24" ht="15.6">
      <c r="B199" s="183" t="s">
        <v>429</v>
      </c>
      <c r="C199" s="840" t="s">
        <v>1145</v>
      </c>
      <c r="D199" s="611" t="s">
        <v>1125</v>
      </c>
      <c r="E199" s="185" t="s">
        <v>26</v>
      </c>
      <c r="F199" s="838"/>
      <c r="G199" s="568">
        <v>113.14</v>
      </c>
      <c r="H199" s="457">
        <f t="shared" si="389"/>
        <v>0</v>
      </c>
      <c r="I199" s="458"/>
      <c r="J199" s="463">
        <f t="shared" si="390"/>
        <v>0</v>
      </c>
      <c r="K199" s="464">
        <f t="shared" si="391"/>
        <v>0</v>
      </c>
      <c r="L199" s="473"/>
      <c r="M199" s="458"/>
      <c r="N199" s="463">
        <f t="shared" si="392"/>
        <v>0</v>
      </c>
      <c r="O199" s="464">
        <f t="shared" si="393"/>
        <v>0</v>
      </c>
      <c r="P199" s="473"/>
      <c r="Q199" s="458"/>
      <c r="R199" s="463">
        <f t="shared" si="394"/>
        <v>0</v>
      </c>
      <c r="S199" s="464">
        <f t="shared" si="395"/>
        <v>0</v>
      </c>
      <c r="T199" s="473"/>
      <c r="U199" s="458"/>
      <c r="V199" s="463">
        <f t="shared" si="396"/>
        <v>0</v>
      </c>
      <c r="W199" s="464">
        <f t="shared" si="397"/>
        <v>0</v>
      </c>
      <c r="X199" s="459"/>
    </row>
    <row r="200" spans="2:24" ht="15.6">
      <c r="B200" s="183" t="s">
        <v>429</v>
      </c>
      <c r="C200" s="840" t="s">
        <v>1146</v>
      </c>
      <c r="D200" s="611" t="s">
        <v>1126</v>
      </c>
      <c r="E200" s="185" t="s">
        <v>26</v>
      </c>
      <c r="F200" s="838"/>
      <c r="G200" s="568">
        <v>143</v>
      </c>
      <c r="H200" s="457">
        <f t="shared" si="389"/>
        <v>0</v>
      </c>
      <c r="I200" s="458"/>
      <c r="J200" s="463">
        <f t="shared" si="390"/>
        <v>0</v>
      </c>
      <c r="K200" s="464">
        <f t="shared" si="391"/>
        <v>0</v>
      </c>
      <c r="L200" s="473"/>
      <c r="M200" s="458"/>
      <c r="N200" s="463">
        <f t="shared" si="392"/>
        <v>0</v>
      </c>
      <c r="O200" s="464">
        <f t="shared" si="393"/>
        <v>0</v>
      </c>
      <c r="P200" s="473"/>
      <c r="Q200" s="458"/>
      <c r="R200" s="463">
        <f t="shared" si="394"/>
        <v>0</v>
      </c>
      <c r="S200" s="464">
        <f t="shared" si="395"/>
        <v>0</v>
      </c>
      <c r="T200" s="473"/>
      <c r="U200" s="458"/>
      <c r="V200" s="463">
        <f t="shared" si="396"/>
        <v>0</v>
      </c>
      <c r="W200" s="464">
        <f t="shared" si="397"/>
        <v>0</v>
      </c>
      <c r="X200" s="459"/>
    </row>
    <row r="201" spans="2:24" ht="15.6">
      <c r="B201" s="183" t="s">
        <v>429</v>
      </c>
      <c r="C201" s="840" t="s">
        <v>1147</v>
      </c>
      <c r="D201" s="611" t="s">
        <v>1127</v>
      </c>
      <c r="E201" s="185" t="s">
        <v>26</v>
      </c>
      <c r="F201" s="838"/>
      <c r="G201" s="568">
        <v>198</v>
      </c>
      <c r="H201" s="457">
        <f t="shared" si="389"/>
        <v>0</v>
      </c>
      <c r="I201" s="458"/>
      <c r="J201" s="463">
        <f t="shared" si="390"/>
        <v>0</v>
      </c>
      <c r="K201" s="464">
        <f t="shared" si="391"/>
        <v>0</v>
      </c>
      <c r="L201" s="473"/>
      <c r="M201" s="458"/>
      <c r="N201" s="463">
        <f t="shared" si="392"/>
        <v>0</v>
      </c>
      <c r="O201" s="464">
        <f t="shared" si="393"/>
        <v>0</v>
      </c>
      <c r="P201" s="473"/>
      <c r="Q201" s="458"/>
      <c r="R201" s="463">
        <f t="shared" si="394"/>
        <v>0</v>
      </c>
      <c r="S201" s="464">
        <f t="shared" si="395"/>
        <v>0</v>
      </c>
      <c r="T201" s="473"/>
      <c r="U201" s="458"/>
      <c r="V201" s="463">
        <f t="shared" si="396"/>
        <v>0</v>
      </c>
      <c r="W201" s="464">
        <f t="shared" si="397"/>
        <v>0</v>
      </c>
      <c r="X201" s="459"/>
    </row>
    <row r="202" spans="2:24" ht="15.6">
      <c r="B202" s="183" t="s">
        <v>429</v>
      </c>
      <c r="C202" s="184" t="s">
        <v>917</v>
      </c>
      <c r="D202" s="191" t="s">
        <v>915</v>
      </c>
      <c r="E202" s="185" t="s">
        <v>26</v>
      </c>
      <c r="F202" s="98"/>
      <c r="G202" s="263">
        <v>95</v>
      </c>
      <c r="H202" s="457">
        <f t="shared" si="389"/>
        <v>0</v>
      </c>
      <c r="I202" s="458"/>
      <c r="J202" s="463">
        <f t="shared" si="390"/>
        <v>0</v>
      </c>
      <c r="K202" s="464">
        <f t="shared" si="391"/>
        <v>0</v>
      </c>
      <c r="L202" s="473"/>
      <c r="M202" s="458"/>
      <c r="N202" s="463">
        <f t="shared" si="392"/>
        <v>0</v>
      </c>
      <c r="O202" s="464">
        <f t="shared" si="393"/>
        <v>0</v>
      </c>
      <c r="P202" s="473"/>
      <c r="Q202" s="458"/>
      <c r="R202" s="463">
        <f t="shared" si="394"/>
        <v>0</v>
      </c>
      <c r="S202" s="464">
        <f t="shared" si="395"/>
        <v>0</v>
      </c>
      <c r="T202" s="473"/>
      <c r="U202" s="458"/>
      <c r="V202" s="463">
        <f t="shared" si="396"/>
        <v>0</v>
      </c>
      <c r="W202" s="464">
        <f t="shared" si="397"/>
        <v>0</v>
      </c>
      <c r="X202" s="459"/>
    </row>
    <row r="203" spans="2:24" ht="15.6">
      <c r="B203" s="183" t="s">
        <v>429</v>
      </c>
      <c r="C203" s="184" t="s">
        <v>916</v>
      </c>
      <c r="D203" s="191" t="s">
        <v>717</v>
      </c>
      <c r="E203" s="185" t="s">
        <v>26</v>
      </c>
      <c r="F203" s="98"/>
      <c r="G203" s="263">
        <v>176</v>
      </c>
      <c r="H203" s="457">
        <f t="shared" si="380"/>
        <v>0</v>
      </c>
      <c r="I203" s="458"/>
      <c r="J203" s="463">
        <f t="shared" si="381"/>
        <v>0</v>
      </c>
      <c r="K203" s="464">
        <f t="shared" si="382"/>
        <v>0</v>
      </c>
      <c r="L203" s="473"/>
      <c r="M203" s="458"/>
      <c r="N203" s="463">
        <f t="shared" si="383"/>
        <v>0</v>
      </c>
      <c r="O203" s="464">
        <f t="shared" si="384"/>
        <v>0</v>
      </c>
      <c r="P203" s="473"/>
      <c r="Q203" s="458"/>
      <c r="R203" s="463">
        <f t="shared" si="385"/>
        <v>0</v>
      </c>
      <c r="S203" s="464">
        <f t="shared" si="386"/>
        <v>0</v>
      </c>
      <c r="T203" s="473"/>
      <c r="U203" s="458"/>
      <c r="V203" s="463">
        <f t="shared" si="387"/>
        <v>0</v>
      </c>
      <c r="W203" s="464">
        <f t="shared" si="388"/>
        <v>0</v>
      </c>
      <c r="X203" s="459"/>
    </row>
    <row r="204" spans="2:24" ht="15.6">
      <c r="B204" s="183" t="s">
        <v>429</v>
      </c>
      <c r="C204" s="184" t="s">
        <v>301</v>
      </c>
      <c r="D204" s="191" t="s">
        <v>619</v>
      </c>
      <c r="E204" s="185" t="s">
        <v>26</v>
      </c>
      <c r="F204" s="98"/>
      <c r="G204" s="263">
        <v>121.9</v>
      </c>
      <c r="H204" s="457">
        <f t="shared" si="355"/>
        <v>0</v>
      </c>
      <c r="I204" s="458"/>
      <c r="J204" s="463">
        <f t="shared" si="356"/>
        <v>0</v>
      </c>
      <c r="K204" s="464">
        <f t="shared" si="357"/>
        <v>0</v>
      </c>
      <c r="L204" s="473"/>
      <c r="M204" s="458"/>
      <c r="N204" s="463">
        <f t="shared" si="358"/>
        <v>0</v>
      </c>
      <c r="O204" s="464">
        <f t="shared" si="359"/>
        <v>0</v>
      </c>
      <c r="P204" s="473"/>
      <c r="Q204" s="458"/>
      <c r="R204" s="463">
        <f t="shared" si="360"/>
        <v>0</v>
      </c>
      <c r="S204" s="464">
        <f t="shared" si="361"/>
        <v>0</v>
      </c>
      <c r="T204" s="473"/>
      <c r="U204" s="458"/>
      <c r="V204" s="463">
        <f>U204+R204</f>
        <v>0</v>
      </c>
      <c r="W204" s="464">
        <f>V204*G204</f>
        <v>0</v>
      </c>
      <c r="X204" s="459"/>
    </row>
    <row r="205" spans="2:24" ht="15.6">
      <c r="B205" s="183" t="s">
        <v>429</v>
      </c>
      <c r="C205" s="184" t="s">
        <v>740</v>
      </c>
      <c r="D205" s="191" t="s">
        <v>618</v>
      </c>
      <c r="E205" s="185" t="s">
        <v>26</v>
      </c>
      <c r="F205" s="98"/>
      <c r="G205" s="263">
        <v>378.48</v>
      </c>
      <c r="H205" s="457">
        <f t="shared" si="355"/>
        <v>0</v>
      </c>
      <c r="I205" s="458"/>
      <c r="J205" s="463">
        <f t="shared" si="356"/>
        <v>0</v>
      </c>
      <c r="K205" s="464">
        <f t="shared" si="357"/>
        <v>0</v>
      </c>
      <c r="L205" s="473"/>
      <c r="M205" s="458"/>
      <c r="N205" s="463">
        <f t="shared" si="358"/>
        <v>0</v>
      </c>
      <c r="O205" s="464">
        <f t="shared" si="359"/>
        <v>0</v>
      </c>
      <c r="P205" s="473"/>
      <c r="Q205" s="458"/>
      <c r="R205" s="463">
        <f t="shared" si="360"/>
        <v>0</v>
      </c>
      <c r="S205" s="464">
        <f t="shared" si="361"/>
        <v>0</v>
      </c>
      <c r="T205" s="473"/>
      <c r="U205" s="458"/>
      <c r="V205" s="463">
        <f>U205+R205</f>
        <v>0</v>
      </c>
      <c r="W205" s="464">
        <f>V205*G205</f>
        <v>0</v>
      </c>
      <c r="X205" s="459"/>
    </row>
    <row r="206" spans="2:24" ht="15.6">
      <c r="B206" s="183" t="s">
        <v>429</v>
      </c>
      <c r="C206" s="184" t="s">
        <v>302</v>
      </c>
      <c r="D206" s="191" t="s">
        <v>620</v>
      </c>
      <c r="E206" s="185" t="s">
        <v>26</v>
      </c>
      <c r="F206" s="98"/>
      <c r="G206" s="263">
        <v>691</v>
      </c>
      <c r="H206" s="457">
        <f t="shared" si="355"/>
        <v>0</v>
      </c>
      <c r="I206" s="458"/>
      <c r="J206" s="463">
        <f t="shared" si="356"/>
        <v>0</v>
      </c>
      <c r="K206" s="464">
        <f t="shared" si="357"/>
        <v>0</v>
      </c>
      <c r="L206" s="473"/>
      <c r="M206" s="458"/>
      <c r="N206" s="463">
        <f t="shared" si="358"/>
        <v>0</v>
      </c>
      <c r="O206" s="464">
        <f t="shared" si="359"/>
        <v>0</v>
      </c>
      <c r="P206" s="473"/>
      <c r="Q206" s="458"/>
      <c r="R206" s="463">
        <f t="shared" si="360"/>
        <v>0</v>
      </c>
      <c r="S206" s="464">
        <f t="shared" si="361"/>
        <v>0</v>
      </c>
      <c r="T206" s="473"/>
      <c r="U206" s="458"/>
      <c r="V206" s="463">
        <f>U206+R206</f>
        <v>0</v>
      </c>
      <c r="W206" s="464">
        <f>V206*G206</f>
        <v>0</v>
      </c>
      <c r="X206" s="459"/>
    </row>
    <row r="207" spans="2:24" ht="15.6">
      <c r="B207" s="183" t="s">
        <v>429</v>
      </c>
      <c r="C207" s="184" t="s">
        <v>303</v>
      </c>
      <c r="D207" s="191" t="s">
        <v>621</v>
      </c>
      <c r="E207" s="185" t="s">
        <v>26</v>
      </c>
      <c r="F207" s="98"/>
      <c r="G207" s="263">
        <v>1676.16</v>
      </c>
      <c r="H207" s="457">
        <f t="shared" si="355"/>
        <v>0</v>
      </c>
      <c r="I207" s="458"/>
      <c r="J207" s="463">
        <f t="shared" si="356"/>
        <v>0</v>
      </c>
      <c r="K207" s="464">
        <f t="shared" si="357"/>
        <v>0</v>
      </c>
      <c r="L207" s="473"/>
      <c r="M207" s="458"/>
      <c r="N207" s="463">
        <f t="shared" si="358"/>
        <v>0</v>
      </c>
      <c r="O207" s="464">
        <f t="shared" si="359"/>
        <v>0</v>
      </c>
      <c r="P207" s="473"/>
      <c r="Q207" s="458"/>
      <c r="R207" s="463">
        <f t="shared" si="360"/>
        <v>0</v>
      </c>
      <c r="S207" s="464">
        <f t="shared" si="361"/>
        <v>0</v>
      </c>
      <c r="T207" s="473"/>
      <c r="U207" s="458"/>
      <c r="V207" s="463">
        <f>U207+R207</f>
        <v>0</v>
      </c>
      <c r="W207" s="464">
        <f>V207*G207</f>
        <v>0</v>
      </c>
      <c r="X207" s="459"/>
    </row>
    <row r="208" spans="2:24" ht="15.6">
      <c r="B208" s="183" t="s">
        <v>429</v>
      </c>
      <c r="C208" s="442" t="s">
        <v>712</v>
      </c>
      <c r="D208" s="443" t="s">
        <v>716</v>
      </c>
      <c r="E208" s="185" t="s">
        <v>26</v>
      </c>
      <c r="F208" s="445"/>
      <c r="G208" s="446">
        <v>1235</v>
      </c>
      <c r="H208" s="457">
        <f t="shared" ref="H208:H212" si="398">F208*G208</f>
        <v>0</v>
      </c>
      <c r="I208" s="458"/>
      <c r="J208" s="463">
        <f t="shared" ref="J208:J211" si="399">I208+F208</f>
        <v>0</v>
      </c>
      <c r="K208" s="464">
        <f t="shared" ref="K208:K211" si="400">J208*G208</f>
        <v>0</v>
      </c>
      <c r="L208" s="473"/>
      <c r="M208" s="458"/>
      <c r="N208" s="463">
        <f t="shared" ref="N208:N211" si="401">M208+J208</f>
        <v>0</v>
      </c>
      <c r="O208" s="464">
        <f t="shared" ref="O208:O211" si="402">N208*G208</f>
        <v>0</v>
      </c>
      <c r="P208" s="473"/>
      <c r="Q208" s="458"/>
      <c r="R208" s="463">
        <f t="shared" ref="R208:R211" si="403">Q208+N208</f>
        <v>0</v>
      </c>
      <c r="S208" s="464">
        <f t="shared" ref="S208:S211" si="404">R208*G208</f>
        <v>0</v>
      </c>
      <c r="T208" s="473"/>
      <c r="U208" s="458"/>
      <c r="V208" s="463">
        <f t="shared" ref="V208:V211" si="405">U208+R208</f>
        <v>0</v>
      </c>
      <c r="W208" s="464">
        <f t="shared" ref="W208:W211" si="406">V208*G208</f>
        <v>0</v>
      </c>
      <c r="X208" s="459"/>
    </row>
    <row r="209" spans="2:24" ht="15.6">
      <c r="B209" s="183" t="s">
        <v>429</v>
      </c>
      <c r="C209" s="442" t="s">
        <v>719</v>
      </c>
      <c r="D209" s="443" t="s">
        <v>718</v>
      </c>
      <c r="E209" s="185" t="s">
        <v>26</v>
      </c>
      <c r="F209" s="445"/>
      <c r="G209" s="446">
        <v>3</v>
      </c>
      <c r="H209" s="457">
        <f t="shared" si="398"/>
        <v>0</v>
      </c>
      <c r="I209" s="458"/>
      <c r="J209" s="463">
        <f t="shared" si="399"/>
        <v>0</v>
      </c>
      <c r="K209" s="464">
        <f t="shared" si="400"/>
        <v>0</v>
      </c>
      <c r="L209" s="473"/>
      <c r="M209" s="458"/>
      <c r="N209" s="463">
        <f t="shared" si="401"/>
        <v>0</v>
      </c>
      <c r="O209" s="464">
        <f t="shared" si="402"/>
        <v>0</v>
      </c>
      <c r="P209" s="473"/>
      <c r="Q209" s="458"/>
      <c r="R209" s="463">
        <f t="shared" si="403"/>
        <v>0</v>
      </c>
      <c r="S209" s="464">
        <f t="shared" si="404"/>
        <v>0</v>
      </c>
      <c r="T209" s="473"/>
      <c r="U209" s="458"/>
      <c r="V209" s="463">
        <f t="shared" si="405"/>
        <v>0</v>
      </c>
      <c r="W209" s="464">
        <f t="shared" si="406"/>
        <v>0</v>
      </c>
      <c r="X209" s="459"/>
    </row>
    <row r="210" spans="2:24" ht="15.6">
      <c r="B210" s="183" t="s">
        <v>429</v>
      </c>
      <c r="C210" s="442" t="s">
        <v>720</v>
      </c>
      <c r="D210" s="443" t="s">
        <v>713</v>
      </c>
      <c r="E210" s="185" t="s">
        <v>26</v>
      </c>
      <c r="F210" s="445"/>
      <c r="G210" s="446">
        <v>3</v>
      </c>
      <c r="H210" s="457">
        <f t="shared" si="398"/>
        <v>0</v>
      </c>
      <c r="I210" s="458"/>
      <c r="J210" s="463">
        <f t="shared" si="399"/>
        <v>0</v>
      </c>
      <c r="K210" s="464">
        <f t="shared" si="400"/>
        <v>0</v>
      </c>
      <c r="L210" s="473"/>
      <c r="M210" s="458"/>
      <c r="N210" s="463">
        <f t="shared" si="401"/>
        <v>0</v>
      </c>
      <c r="O210" s="464">
        <f t="shared" si="402"/>
        <v>0</v>
      </c>
      <c r="P210" s="473"/>
      <c r="Q210" s="458"/>
      <c r="R210" s="463">
        <f t="shared" si="403"/>
        <v>0</v>
      </c>
      <c r="S210" s="464">
        <f t="shared" si="404"/>
        <v>0</v>
      </c>
      <c r="T210" s="473"/>
      <c r="U210" s="458"/>
      <c r="V210" s="463">
        <f t="shared" si="405"/>
        <v>0</v>
      </c>
      <c r="W210" s="464">
        <f t="shared" si="406"/>
        <v>0</v>
      </c>
      <c r="X210" s="459"/>
    </row>
    <row r="211" spans="2:24" ht="15.6">
      <c r="B211" s="183" t="s">
        <v>429</v>
      </c>
      <c r="C211" s="442" t="s">
        <v>714</v>
      </c>
      <c r="D211" s="443" t="s">
        <v>715</v>
      </c>
      <c r="E211" s="185" t="s">
        <v>26</v>
      </c>
      <c r="F211" s="445"/>
      <c r="G211" s="446">
        <v>250</v>
      </c>
      <c r="H211" s="457">
        <f t="shared" si="398"/>
        <v>0</v>
      </c>
      <c r="I211" s="458"/>
      <c r="J211" s="463">
        <f t="shared" si="399"/>
        <v>0</v>
      </c>
      <c r="K211" s="464">
        <f t="shared" si="400"/>
        <v>0</v>
      </c>
      <c r="L211" s="473"/>
      <c r="M211" s="458"/>
      <c r="N211" s="463">
        <f t="shared" si="401"/>
        <v>0</v>
      </c>
      <c r="O211" s="464">
        <f t="shared" si="402"/>
        <v>0</v>
      </c>
      <c r="P211" s="473"/>
      <c r="Q211" s="458"/>
      <c r="R211" s="463">
        <f t="shared" si="403"/>
        <v>0</v>
      </c>
      <c r="S211" s="464">
        <f t="shared" si="404"/>
        <v>0</v>
      </c>
      <c r="T211" s="473"/>
      <c r="U211" s="458"/>
      <c r="V211" s="463">
        <f t="shared" si="405"/>
        <v>0</v>
      </c>
      <c r="W211" s="464">
        <f t="shared" si="406"/>
        <v>0</v>
      </c>
      <c r="X211" s="459"/>
    </row>
    <row r="212" spans="2:24" ht="15.6">
      <c r="B212" s="563" t="s">
        <v>965</v>
      </c>
      <c r="C212" s="564" t="s">
        <v>967</v>
      </c>
      <c r="D212" s="565" t="s">
        <v>966</v>
      </c>
      <c r="E212" s="566" t="s">
        <v>26</v>
      </c>
      <c r="F212" s="567"/>
      <c r="G212" s="568">
        <v>4864.5</v>
      </c>
      <c r="H212" s="569">
        <f t="shared" si="398"/>
        <v>0</v>
      </c>
      <c r="I212" s="570"/>
      <c r="J212" s="463">
        <f t="shared" ref="J212:J222" si="407">I212+F212</f>
        <v>0</v>
      </c>
      <c r="K212" s="464">
        <f t="shared" ref="K212:K222" si="408">J212*G212</f>
        <v>0</v>
      </c>
      <c r="L212" s="473"/>
      <c r="M212" s="458"/>
      <c r="N212" s="463">
        <f t="shared" ref="N212:N222" si="409">M212+J212</f>
        <v>0</v>
      </c>
      <c r="O212" s="464">
        <f t="shared" ref="O212:O222" si="410">N212*G212</f>
        <v>0</v>
      </c>
      <c r="P212" s="473"/>
      <c r="Q212" s="458"/>
      <c r="R212" s="463">
        <f t="shared" ref="R212:R222" si="411">Q212+N212</f>
        <v>0</v>
      </c>
      <c r="S212" s="464">
        <f t="shared" ref="S212:S222" si="412">R212*G212</f>
        <v>0</v>
      </c>
      <c r="T212" s="473"/>
      <c r="U212" s="458"/>
      <c r="V212" s="463">
        <f t="shared" ref="V212:V222" si="413">U212+R212</f>
        <v>0</v>
      </c>
      <c r="W212" s="464">
        <f t="shared" ref="W212:W222" si="414">V212*G212</f>
        <v>0</v>
      </c>
      <c r="X212" s="459"/>
    </row>
    <row r="213" spans="2:24" ht="15.6">
      <c r="B213" s="563" t="s">
        <v>965</v>
      </c>
      <c r="C213" s="564" t="s">
        <v>968</v>
      </c>
      <c r="D213" s="565" t="s">
        <v>966</v>
      </c>
      <c r="E213" s="566" t="s">
        <v>26</v>
      </c>
      <c r="F213" s="567"/>
      <c r="G213" s="568">
        <v>4864.5</v>
      </c>
      <c r="H213" s="569">
        <f t="shared" ref="H213:H222" si="415">F213*G213</f>
        <v>0</v>
      </c>
      <c r="I213" s="570"/>
      <c r="J213" s="463">
        <f t="shared" si="407"/>
        <v>0</v>
      </c>
      <c r="K213" s="464">
        <f t="shared" si="408"/>
        <v>0</v>
      </c>
      <c r="L213" s="473"/>
      <c r="M213" s="458"/>
      <c r="N213" s="463">
        <f t="shared" si="409"/>
        <v>0</v>
      </c>
      <c r="O213" s="464">
        <f t="shared" si="410"/>
        <v>0</v>
      </c>
      <c r="P213" s="473"/>
      <c r="Q213" s="458"/>
      <c r="R213" s="463">
        <f t="shared" si="411"/>
        <v>0</v>
      </c>
      <c r="S213" s="464">
        <f t="shared" si="412"/>
        <v>0</v>
      </c>
      <c r="T213" s="473"/>
      <c r="U213" s="458"/>
      <c r="V213" s="463">
        <f t="shared" si="413"/>
        <v>0</v>
      </c>
      <c r="W213" s="464">
        <f t="shared" si="414"/>
        <v>0</v>
      </c>
      <c r="X213" s="459"/>
    </row>
    <row r="214" spans="2:24" ht="15.6">
      <c r="B214" s="563" t="s">
        <v>965</v>
      </c>
      <c r="C214" s="564" t="s">
        <v>970</v>
      </c>
      <c r="D214" s="565" t="s">
        <v>969</v>
      </c>
      <c r="E214" s="566" t="s">
        <v>26</v>
      </c>
      <c r="F214" s="567"/>
      <c r="G214" s="568">
        <v>398.93</v>
      </c>
      <c r="H214" s="569">
        <f t="shared" si="415"/>
        <v>0</v>
      </c>
      <c r="I214" s="570"/>
      <c r="J214" s="463">
        <f t="shared" si="407"/>
        <v>0</v>
      </c>
      <c r="K214" s="464">
        <f t="shared" si="408"/>
        <v>0</v>
      </c>
      <c r="L214" s="473"/>
      <c r="M214" s="458"/>
      <c r="N214" s="463">
        <f t="shared" si="409"/>
        <v>0</v>
      </c>
      <c r="O214" s="464">
        <f t="shared" si="410"/>
        <v>0</v>
      </c>
      <c r="P214" s="473"/>
      <c r="Q214" s="458"/>
      <c r="R214" s="463">
        <f t="shared" si="411"/>
        <v>0</v>
      </c>
      <c r="S214" s="464">
        <f t="shared" si="412"/>
        <v>0</v>
      </c>
      <c r="T214" s="473"/>
      <c r="U214" s="458"/>
      <c r="V214" s="463">
        <f t="shared" si="413"/>
        <v>0</v>
      </c>
      <c r="W214" s="464">
        <f t="shared" si="414"/>
        <v>0</v>
      </c>
      <c r="X214" s="459"/>
    </row>
    <row r="215" spans="2:24" ht="15.6">
      <c r="B215" s="563" t="s">
        <v>965</v>
      </c>
      <c r="C215" s="564" t="s">
        <v>972</v>
      </c>
      <c r="D215" s="565" t="s">
        <v>971</v>
      </c>
      <c r="E215" s="566" t="s">
        <v>26</v>
      </c>
      <c r="F215" s="567"/>
      <c r="G215" s="568">
        <v>32.200000000000003</v>
      </c>
      <c r="H215" s="569">
        <f t="shared" si="415"/>
        <v>0</v>
      </c>
      <c r="I215" s="570"/>
      <c r="J215" s="463">
        <f t="shared" si="407"/>
        <v>0</v>
      </c>
      <c r="K215" s="464">
        <f t="shared" si="408"/>
        <v>0</v>
      </c>
      <c r="L215" s="473"/>
      <c r="M215" s="458"/>
      <c r="N215" s="463">
        <f t="shared" si="409"/>
        <v>0</v>
      </c>
      <c r="O215" s="464">
        <f t="shared" si="410"/>
        <v>0</v>
      </c>
      <c r="P215" s="473"/>
      <c r="Q215" s="458"/>
      <c r="R215" s="463">
        <f t="shared" si="411"/>
        <v>0</v>
      </c>
      <c r="S215" s="464">
        <f t="shared" si="412"/>
        <v>0</v>
      </c>
      <c r="T215" s="473"/>
      <c r="U215" s="458"/>
      <c r="V215" s="463">
        <f t="shared" si="413"/>
        <v>0</v>
      </c>
      <c r="W215" s="464">
        <f t="shared" si="414"/>
        <v>0</v>
      </c>
      <c r="X215" s="459"/>
    </row>
    <row r="216" spans="2:24" ht="15.6">
      <c r="B216" s="563" t="s">
        <v>965</v>
      </c>
      <c r="C216" s="564" t="s">
        <v>974</v>
      </c>
      <c r="D216" s="565" t="s">
        <v>973</v>
      </c>
      <c r="E216" s="566" t="s">
        <v>26</v>
      </c>
      <c r="F216" s="567"/>
      <c r="G216" s="568">
        <v>20.7</v>
      </c>
      <c r="H216" s="569">
        <f t="shared" si="415"/>
        <v>0</v>
      </c>
      <c r="I216" s="570"/>
      <c r="J216" s="463">
        <f t="shared" si="407"/>
        <v>0</v>
      </c>
      <c r="K216" s="464">
        <f t="shared" si="408"/>
        <v>0</v>
      </c>
      <c r="L216" s="473"/>
      <c r="M216" s="458"/>
      <c r="N216" s="463">
        <f t="shared" si="409"/>
        <v>0</v>
      </c>
      <c r="O216" s="464">
        <f t="shared" si="410"/>
        <v>0</v>
      </c>
      <c r="P216" s="473"/>
      <c r="Q216" s="458"/>
      <c r="R216" s="463">
        <f t="shared" si="411"/>
        <v>0</v>
      </c>
      <c r="S216" s="464">
        <f t="shared" si="412"/>
        <v>0</v>
      </c>
      <c r="T216" s="473"/>
      <c r="U216" s="458"/>
      <c r="V216" s="463">
        <f t="shared" si="413"/>
        <v>0</v>
      </c>
      <c r="W216" s="464">
        <f t="shared" si="414"/>
        <v>0</v>
      </c>
      <c r="X216" s="459"/>
    </row>
    <row r="217" spans="2:24" ht="15.6">
      <c r="B217" s="563" t="s">
        <v>965</v>
      </c>
      <c r="C217" s="564" t="s">
        <v>975</v>
      </c>
      <c r="D217" s="565" t="s">
        <v>975</v>
      </c>
      <c r="E217" s="566" t="s">
        <v>26</v>
      </c>
      <c r="F217" s="567"/>
      <c r="G217" s="568">
        <v>3</v>
      </c>
      <c r="H217" s="569">
        <f t="shared" si="415"/>
        <v>0</v>
      </c>
      <c r="I217" s="570"/>
      <c r="J217" s="463">
        <f t="shared" si="407"/>
        <v>0</v>
      </c>
      <c r="K217" s="464">
        <f t="shared" si="408"/>
        <v>0</v>
      </c>
      <c r="L217" s="473"/>
      <c r="M217" s="458"/>
      <c r="N217" s="463">
        <f t="shared" si="409"/>
        <v>0</v>
      </c>
      <c r="O217" s="464">
        <f t="shared" si="410"/>
        <v>0</v>
      </c>
      <c r="P217" s="473"/>
      <c r="Q217" s="458"/>
      <c r="R217" s="463">
        <f t="shared" si="411"/>
        <v>0</v>
      </c>
      <c r="S217" s="464">
        <f t="shared" si="412"/>
        <v>0</v>
      </c>
      <c r="T217" s="473"/>
      <c r="U217" s="458"/>
      <c r="V217" s="463">
        <f t="shared" si="413"/>
        <v>0</v>
      </c>
      <c r="W217" s="464">
        <f t="shared" si="414"/>
        <v>0</v>
      </c>
      <c r="X217" s="459"/>
    </row>
    <row r="218" spans="2:24" ht="15.6">
      <c r="B218" s="563" t="s">
        <v>965</v>
      </c>
      <c r="C218" s="564" t="s">
        <v>980</v>
      </c>
      <c r="D218" s="565" t="s">
        <v>976</v>
      </c>
      <c r="E218" s="566" t="s">
        <v>26</v>
      </c>
      <c r="F218" s="567"/>
      <c r="G218" s="568">
        <v>217.92</v>
      </c>
      <c r="H218" s="569">
        <f t="shared" si="415"/>
        <v>0</v>
      </c>
      <c r="I218" s="570"/>
      <c r="J218" s="463">
        <f t="shared" si="407"/>
        <v>0</v>
      </c>
      <c r="K218" s="464">
        <f t="shared" si="408"/>
        <v>0</v>
      </c>
      <c r="L218" s="473"/>
      <c r="M218" s="458"/>
      <c r="N218" s="463">
        <f t="shared" si="409"/>
        <v>0</v>
      </c>
      <c r="O218" s="464">
        <f t="shared" si="410"/>
        <v>0</v>
      </c>
      <c r="P218" s="473"/>
      <c r="Q218" s="458"/>
      <c r="R218" s="463">
        <f t="shared" si="411"/>
        <v>0</v>
      </c>
      <c r="S218" s="464">
        <f t="shared" si="412"/>
        <v>0</v>
      </c>
      <c r="T218" s="473"/>
      <c r="U218" s="458"/>
      <c r="V218" s="463">
        <f t="shared" si="413"/>
        <v>0</v>
      </c>
      <c r="W218" s="464">
        <f t="shared" si="414"/>
        <v>0</v>
      </c>
      <c r="X218" s="459"/>
    </row>
    <row r="219" spans="2:24" ht="15.6">
      <c r="B219" s="563" t="s">
        <v>965</v>
      </c>
      <c r="C219" s="564" t="s">
        <v>981</v>
      </c>
      <c r="D219" s="565" t="s">
        <v>977</v>
      </c>
      <c r="E219" s="566" t="s">
        <v>26</v>
      </c>
      <c r="F219" s="567"/>
      <c r="G219" s="568">
        <v>217.92</v>
      </c>
      <c r="H219" s="569">
        <f t="shared" si="415"/>
        <v>0</v>
      </c>
      <c r="I219" s="570"/>
      <c r="J219" s="463">
        <f t="shared" si="407"/>
        <v>0</v>
      </c>
      <c r="K219" s="464">
        <f t="shared" si="408"/>
        <v>0</v>
      </c>
      <c r="L219" s="473"/>
      <c r="M219" s="458"/>
      <c r="N219" s="463">
        <f t="shared" si="409"/>
        <v>0</v>
      </c>
      <c r="O219" s="464">
        <f t="shared" si="410"/>
        <v>0</v>
      </c>
      <c r="P219" s="473"/>
      <c r="Q219" s="458"/>
      <c r="R219" s="463">
        <f t="shared" si="411"/>
        <v>0</v>
      </c>
      <c r="S219" s="464">
        <f t="shared" si="412"/>
        <v>0</v>
      </c>
      <c r="T219" s="473"/>
      <c r="U219" s="458"/>
      <c r="V219" s="463">
        <f t="shared" si="413"/>
        <v>0</v>
      </c>
      <c r="W219" s="464">
        <f t="shared" si="414"/>
        <v>0</v>
      </c>
      <c r="X219" s="459"/>
    </row>
    <row r="220" spans="2:24" ht="15.6">
      <c r="B220" s="563" t="s">
        <v>965</v>
      </c>
      <c r="C220" s="564" t="s">
        <v>997</v>
      </c>
      <c r="D220" s="565" t="s">
        <v>998</v>
      </c>
      <c r="E220" s="566" t="s">
        <v>26</v>
      </c>
      <c r="F220" s="567"/>
      <c r="G220" s="568">
        <v>248.4</v>
      </c>
      <c r="H220" s="569">
        <f t="shared" ref="H220" si="416">F220*G220</f>
        <v>0</v>
      </c>
      <c r="I220" s="570"/>
      <c r="J220" s="463">
        <f t="shared" ref="J220" si="417">I220+F220</f>
        <v>0</v>
      </c>
      <c r="K220" s="464">
        <f t="shared" ref="K220" si="418">J220*G220</f>
        <v>0</v>
      </c>
      <c r="L220" s="473"/>
      <c r="M220" s="458"/>
      <c r="N220" s="463">
        <f t="shared" ref="N220" si="419">M220+J220</f>
        <v>0</v>
      </c>
      <c r="O220" s="464">
        <f t="shared" ref="O220" si="420">N220*G220</f>
        <v>0</v>
      </c>
      <c r="P220" s="473"/>
      <c r="Q220" s="458"/>
      <c r="R220" s="463">
        <f t="shared" ref="R220" si="421">Q220+N220</f>
        <v>0</v>
      </c>
      <c r="S220" s="464">
        <f t="shared" ref="S220" si="422">R220*G220</f>
        <v>0</v>
      </c>
      <c r="T220" s="473"/>
      <c r="U220" s="458"/>
      <c r="V220" s="463">
        <f t="shared" ref="V220" si="423">U220+R220</f>
        <v>0</v>
      </c>
      <c r="W220" s="464">
        <f t="shared" ref="W220" si="424">V220*G220</f>
        <v>0</v>
      </c>
      <c r="X220" s="459"/>
    </row>
    <row r="221" spans="2:24" ht="15.6">
      <c r="B221" s="563" t="s">
        <v>965</v>
      </c>
      <c r="C221" s="564" t="s">
        <v>982</v>
      </c>
      <c r="D221" s="565" t="s">
        <v>978</v>
      </c>
      <c r="E221" s="566" t="s">
        <v>26</v>
      </c>
      <c r="F221" s="567"/>
      <c r="G221" s="568">
        <v>4740.3</v>
      </c>
      <c r="H221" s="569">
        <f t="shared" si="415"/>
        <v>0</v>
      </c>
      <c r="I221" s="570"/>
      <c r="J221" s="463">
        <f t="shared" si="407"/>
        <v>0</v>
      </c>
      <c r="K221" s="464">
        <f t="shared" si="408"/>
        <v>0</v>
      </c>
      <c r="L221" s="473"/>
      <c r="M221" s="458"/>
      <c r="N221" s="463">
        <f t="shared" si="409"/>
        <v>0</v>
      </c>
      <c r="O221" s="464">
        <f t="shared" si="410"/>
        <v>0</v>
      </c>
      <c r="P221" s="473"/>
      <c r="Q221" s="458"/>
      <c r="R221" s="463">
        <f t="shared" si="411"/>
        <v>0</v>
      </c>
      <c r="S221" s="464">
        <f t="shared" si="412"/>
        <v>0</v>
      </c>
      <c r="T221" s="473"/>
      <c r="U221" s="458"/>
      <c r="V221" s="463">
        <f t="shared" si="413"/>
        <v>0</v>
      </c>
      <c r="W221" s="464">
        <f t="shared" si="414"/>
        <v>0</v>
      </c>
      <c r="X221" s="459"/>
    </row>
    <row r="222" spans="2:24" ht="15.6">
      <c r="B222" s="563" t="s">
        <v>965</v>
      </c>
      <c r="C222" s="564" t="s">
        <v>983</v>
      </c>
      <c r="D222" s="565" t="s">
        <v>979</v>
      </c>
      <c r="E222" s="566" t="s">
        <v>26</v>
      </c>
      <c r="F222" s="567"/>
      <c r="G222" s="568">
        <v>327.7</v>
      </c>
      <c r="H222" s="569">
        <f t="shared" si="415"/>
        <v>0</v>
      </c>
      <c r="I222" s="570"/>
      <c r="J222" s="463">
        <f t="shared" si="407"/>
        <v>0</v>
      </c>
      <c r="K222" s="464">
        <f t="shared" si="408"/>
        <v>0</v>
      </c>
      <c r="L222" s="473"/>
      <c r="M222" s="458"/>
      <c r="N222" s="463">
        <f t="shared" si="409"/>
        <v>0</v>
      </c>
      <c r="O222" s="464">
        <f t="shared" si="410"/>
        <v>0</v>
      </c>
      <c r="P222" s="473"/>
      <c r="Q222" s="458"/>
      <c r="R222" s="463">
        <f t="shared" si="411"/>
        <v>0</v>
      </c>
      <c r="S222" s="464">
        <f t="shared" si="412"/>
        <v>0</v>
      </c>
      <c r="T222" s="473"/>
      <c r="U222" s="458"/>
      <c r="V222" s="463">
        <f t="shared" si="413"/>
        <v>0</v>
      </c>
      <c r="W222" s="464">
        <f t="shared" si="414"/>
        <v>0</v>
      </c>
      <c r="X222" s="459"/>
    </row>
    <row r="223" spans="2:24" ht="15.6">
      <c r="B223" s="563" t="s">
        <v>965</v>
      </c>
      <c r="C223" s="564" t="s">
        <v>984</v>
      </c>
      <c r="D223" s="565" t="s">
        <v>985</v>
      </c>
      <c r="E223" s="566" t="s">
        <v>26</v>
      </c>
      <c r="F223" s="567"/>
      <c r="G223" s="568">
        <v>293.3</v>
      </c>
      <c r="H223" s="569">
        <f t="shared" ref="H223:H229" si="425">F223*G223</f>
        <v>0</v>
      </c>
      <c r="I223" s="570"/>
      <c r="J223" s="463">
        <f t="shared" ref="J223:J229" si="426">I223+F223</f>
        <v>0</v>
      </c>
      <c r="K223" s="464">
        <f t="shared" ref="K223:K229" si="427">J223*G223</f>
        <v>0</v>
      </c>
      <c r="L223" s="473"/>
      <c r="M223" s="458"/>
      <c r="N223" s="463">
        <f t="shared" ref="N223:N229" si="428">M223+J223</f>
        <v>0</v>
      </c>
      <c r="O223" s="464">
        <f t="shared" ref="O223:O229" si="429">N223*G223</f>
        <v>0</v>
      </c>
      <c r="P223" s="473"/>
      <c r="Q223" s="458"/>
      <c r="R223" s="463">
        <f t="shared" ref="R223:R229" si="430">Q223+N223</f>
        <v>0</v>
      </c>
      <c r="S223" s="464">
        <f t="shared" ref="S223:S229" si="431">R223*G223</f>
        <v>0</v>
      </c>
      <c r="T223" s="473"/>
      <c r="U223" s="458"/>
      <c r="V223" s="463">
        <f t="shared" ref="V223:V229" si="432">U223+R223</f>
        <v>0</v>
      </c>
      <c r="W223" s="464">
        <f t="shared" ref="W223:W229" si="433">V223*G223</f>
        <v>0</v>
      </c>
      <c r="X223" s="459"/>
    </row>
    <row r="224" spans="2:24" ht="15.6">
      <c r="B224" s="563" t="s">
        <v>965</v>
      </c>
      <c r="C224" s="564" t="s">
        <v>986</v>
      </c>
      <c r="D224" s="565" t="s">
        <v>987</v>
      </c>
      <c r="E224" s="566" t="s">
        <v>26</v>
      </c>
      <c r="F224" s="567"/>
      <c r="G224" s="568">
        <v>350.7</v>
      </c>
      <c r="H224" s="569">
        <f t="shared" si="425"/>
        <v>0</v>
      </c>
      <c r="I224" s="570"/>
      <c r="J224" s="463">
        <f t="shared" si="426"/>
        <v>0</v>
      </c>
      <c r="K224" s="464">
        <f t="shared" si="427"/>
        <v>0</v>
      </c>
      <c r="L224" s="473"/>
      <c r="M224" s="458"/>
      <c r="N224" s="463">
        <f t="shared" si="428"/>
        <v>0</v>
      </c>
      <c r="O224" s="464">
        <f t="shared" si="429"/>
        <v>0</v>
      </c>
      <c r="P224" s="473"/>
      <c r="Q224" s="458"/>
      <c r="R224" s="463">
        <f t="shared" si="430"/>
        <v>0</v>
      </c>
      <c r="S224" s="464">
        <f t="shared" si="431"/>
        <v>0</v>
      </c>
      <c r="T224" s="473"/>
      <c r="U224" s="458"/>
      <c r="V224" s="463">
        <f t="shared" si="432"/>
        <v>0</v>
      </c>
      <c r="W224" s="464">
        <f t="shared" si="433"/>
        <v>0</v>
      </c>
      <c r="X224" s="459"/>
    </row>
    <row r="225" spans="2:24" ht="15.6">
      <c r="B225" s="563" t="s">
        <v>965</v>
      </c>
      <c r="C225" s="564" t="s">
        <v>988</v>
      </c>
      <c r="D225" s="565" t="s">
        <v>989</v>
      </c>
      <c r="E225" s="566" t="s">
        <v>26</v>
      </c>
      <c r="F225" s="567"/>
      <c r="G225" s="568">
        <v>327.7</v>
      </c>
      <c r="H225" s="569">
        <f t="shared" si="425"/>
        <v>0</v>
      </c>
      <c r="I225" s="570"/>
      <c r="J225" s="463">
        <f t="shared" si="426"/>
        <v>0</v>
      </c>
      <c r="K225" s="464">
        <f t="shared" si="427"/>
        <v>0</v>
      </c>
      <c r="L225" s="473"/>
      <c r="M225" s="458"/>
      <c r="N225" s="463">
        <f t="shared" si="428"/>
        <v>0</v>
      </c>
      <c r="O225" s="464">
        <f t="shared" si="429"/>
        <v>0</v>
      </c>
      <c r="P225" s="473"/>
      <c r="Q225" s="458"/>
      <c r="R225" s="463">
        <f t="shared" si="430"/>
        <v>0</v>
      </c>
      <c r="S225" s="464">
        <f t="shared" si="431"/>
        <v>0</v>
      </c>
      <c r="T225" s="473"/>
      <c r="U225" s="458"/>
      <c r="V225" s="463">
        <f t="shared" si="432"/>
        <v>0</v>
      </c>
      <c r="W225" s="464">
        <f t="shared" si="433"/>
        <v>0</v>
      </c>
      <c r="X225" s="459"/>
    </row>
    <row r="226" spans="2:24" ht="15.6">
      <c r="B226" s="563" t="s">
        <v>965</v>
      </c>
      <c r="C226" s="564" t="s">
        <v>990</v>
      </c>
      <c r="D226" s="565" t="s">
        <v>992</v>
      </c>
      <c r="E226" s="566" t="s">
        <v>26</v>
      </c>
      <c r="F226" s="567"/>
      <c r="G226" s="568">
        <v>414</v>
      </c>
      <c r="H226" s="569">
        <f t="shared" si="425"/>
        <v>0</v>
      </c>
      <c r="I226" s="570"/>
      <c r="J226" s="463">
        <f t="shared" si="426"/>
        <v>0</v>
      </c>
      <c r="K226" s="464">
        <f t="shared" si="427"/>
        <v>0</v>
      </c>
      <c r="L226" s="473"/>
      <c r="M226" s="458"/>
      <c r="N226" s="463">
        <f t="shared" si="428"/>
        <v>0</v>
      </c>
      <c r="O226" s="464">
        <f t="shared" si="429"/>
        <v>0</v>
      </c>
      <c r="P226" s="473"/>
      <c r="Q226" s="458"/>
      <c r="R226" s="463">
        <f t="shared" si="430"/>
        <v>0</v>
      </c>
      <c r="S226" s="464">
        <f t="shared" si="431"/>
        <v>0</v>
      </c>
      <c r="T226" s="473"/>
      <c r="U226" s="458"/>
      <c r="V226" s="463">
        <f t="shared" si="432"/>
        <v>0</v>
      </c>
      <c r="W226" s="464">
        <f t="shared" si="433"/>
        <v>0</v>
      </c>
      <c r="X226" s="459"/>
    </row>
    <row r="227" spans="2:24" ht="15.6">
      <c r="B227" s="563" t="s">
        <v>965</v>
      </c>
      <c r="C227" s="564" t="s">
        <v>991</v>
      </c>
      <c r="D227" s="565" t="s">
        <v>993</v>
      </c>
      <c r="E227" s="566" t="s">
        <v>26</v>
      </c>
      <c r="F227" s="567"/>
      <c r="G227" s="568">
        <v>414</v>
      </c>
      <c r="H227" s="569">
        <f t="shared" si="425"/>
        <v>0</v>
      </c>
      <c r="I227" s="570"/>
      <c r="J227" s="463">
        <f t="shared" si="426"/>
        <v>0</v>
      </c>
      <c r="K227" s="464">
        <f t="shared" si="427"/>
        <v>0</v>
      </c>
      <c r="L227" s="473"/>
      <c r="M227" s="458"/>
      <c r="N227" s="463">
        <f t="shared" si="428"/>
        <v>0</v>
      </c>
      <c r="O227" s="464">
        <f t="shared" si="429"/>
        <v>0</v>
      </c>
      <c r="P227" s="473"/>
      <c r="Q227" s="458"/>
      <c r="R227" s="463">
        <f t="shared" si="430"/>
        <v>0</v>
      </c>
      <c r="S227" s="464">
        <f t="shared" si="431"/>
        <v>0</v>
      </c>
      <c r="T227" s="473"/>
      <c r="U227" s="458"/>
      <c r="V227" s="463">
        <f t="shared" si="432"/>
        <v>0</v>
      </c>
      <c r="W227" s="464">
        <f t="shared" si="433"/>
        <v>0</v>
      </c>
      <c r="X227" s="459"/>
    </row>
    <row r="228" spans="2:24" ht="15.6">
      <c r="B228" s="563" t="s">
        <v>965</v>
      </c>
      <c r="C228" s="610" t="s">
        <v>1235</v>
      </c>
      <c r="D228" s="926" t="s">
        <v>1226</v>
      </c>
      <c r="E228" s="566" t="s">
        <v>26</v>
      </c>
      <c r="F228" s="838"/>
      <c r="G228" s="839">
        <v>850</v>
      </c>
      <c r="H228" s="927">
        <f t="shared" si="425"/>
        <v>0</v>
      </c>
      <c r="I228" s="928"/>
      <c r="J228" s="929"/>
      <c r="K228" s="930"/>
      <c r="L228" s="931"/>
      <c r="M228" s="928"/>
      <c r="N228" s="929"/>
      <c r="O228" s="930"/>
      <c r="P228" s="931"/>
      <c r="Q228" s="928"/>
      <c r="R228" s="929"/>
      <c r="S228" s="930"/>
      <c r="T228" s="931"/>
      <c r="U228" s="928"/>
      <c r="V228" s="929"/>
      <c r="W228" s="930"/>
      <c r="X228" s="932"/>
    </row>
    <row r="229" spans="2:24" ht="15.6">
      <c r="B229" s="563" t="s">
        <v>965</v>
      </c>
      <c r="C229" s="564" t="s">
        <v>995</v>
      </c>
      <c r="D229" s="565" t="s">
        <v>994</v>
      </c>
      <c r="E229" s="566" t="s">
        <v>26</v>
      </c>
      <c r="F229" s="567">
        <v>1</v>
      </c>
      <c r="G229" s="568">
        <v>550</v>
      </c>
      <c r="H229" s="569">
        <f t="shared" si="425"/>
        <v>550</v>
      </c>
      <c r="I229" s="570"/>
      <c r="J229" s="463">
        <f t="shared" si="426"/>
        <v>1</v>
      </c>
      <c r="K229" s="464">
        <f t="shared" si="427"/>
        <v>550</v>
      </c>
      <c r="L229" s="473"/>
      <c r="M229" s="458"/>
      <c r="N229" s="463">
        <f t="shared" si="428"/>
        <v>1</v>
      </c>
      <c r="O229" s="464">
        <f t="shared" si="429"/>
        <v>550</v>
      </c>
      <c r="P229" s="473"/>
      <c r="Q229" s="458"/>
      <c r="R229" s="463">
        <f t="shared" si="430"/>
        <v>1</v>
      </c>
      <c r="S229" s="464">
        <f t="shared" si="431"/>
        <v>550</v>
      </c>
      <c r="T229" s="473"/>
      <c r="U229" s="458"/>
      <c r="V229" s="463">
        <f t="shared" si="432"/>
        <v>1</v>
      </c>
      <c r="W229" s="464">
        <f t="shared" si="433"/>
        <v>550</v>
      </c>
      <c r="X229" s="459"/>
    </row>
    <row r="230" spans="2:24" ht="15.6">
      <c r="B230" s="334" t="s">
        <v>633</v>
      </c>
      <c r="C230" s="184" t="s">
        <v>643</v>
      </c>
      <c r="D230" s="335" t="s">
        <v>634</v>
      </c>
      <c r="E230" s="185" t="s">
        <v>26</v>
      </c>
      <c r="F230" s="336"/>
      <c r="G230" s="337">
        <v>6575.6</v>
      </c>
      <c r="H230" s="457">
        <f t="shared" ref="H230:H240" si="434">F230*G230</f>
        <v>0</v>
      </c>
      <c r="I230" s="458"/>
      <c r="J230" s="463">
        <f t="shared" ref="J230:J240" si="435">I230+F230</f>
        <v>0</v>
      </c>
      <c r="K230" s="464">
        <f t="shared" ref="K230:K240" si="436">J230*G230</f>
        <v>0</v>
      </c>
      <c r="L230" s="473"/>
      <c r="M230" s="458"/>
      <c r="N230" s="463">
        <f t="shared" ref="N230:N240" si="437">M230+J230</f>
        <v>0</v>
      </c>
      <c r="O230" s="464">
        <f t="shared" ref="O230:O240" si="438">N230*G230</f>
        <v>0</v>
      </c>
      <c r="P230" s="473"/>
      <c r="Q230" s="458"/>
      <c r="R230" s="463">
        <f t="shared" ref="R230:R240" si="439">Q230+N230</f>
        <v>0</v>
      </c>
      <c r="S230" s="464">
        <f t="shared" ref="S230:S240" si="440">R230*G230</f>
        <v>0</v>
      </c>
      <c r="T230" s="473"/>
      <c r="U230" s="458"/>
      <c r="V230" s="463">
        <f t="shared" ref="V230:V240" si="441">U230+R230</f>
        <v>0</v>
      </c>
      <c r="W230" s="464">
        <f t="shared" ref="W230:W240" si="442">V230*G230</f>
        <v>0</v>
      </c>
      <c r="X230" s="459"/>
    </row>
    <row r="231" spans="2:24" ht="15.6">
      <c r="B231" s="334" t="s">
        <v>633</v>
      </c>
      <c r="C231" s="184" t="s">
        <v>644</v>
      </c>
      <c r="D231" s="335" t="s">
        <v>635</v>
      </c>
      <c r="E231" s="185" t="s">
        <v>26</v>
      </c>
      <c r="F231" s="336"/>
      <c r="G231" s="337">
        <v>8151.22</v>
      </c>
      <c r="H231" s="457">
        <f t="shared" si="434"/>
        <v>0</v>
      </c>
      <c r="I231" s="458"/>
      <c r="J231" s="463">
        <f t="shared" si="435"/>
        <v>0</v>
      </c>
      <c r="K231" s="464">
        <f t="shared" si="436"/>
        <v>0</v>
      </c>
      <c r="L231" s="473"/>
      <c r="M231" s="458"/>
      <c r="N231" s="463">
        <f t="shared" si="437"/>
        <v>0</v>
      </c>
      <c r="O231" s="464">
        <f t="shared" si="438"/>
        <v>0</v>
      </c>
      <c r="P231" s="473"/>
      <c r="Q231" s="458"/>
      <c r="R231" s="463">
        <f t="shared" si="439"/>
        <v>0</v>
      </c>
      <c r="S231" s="464">
        <f t="shared" si="440"/>
        <v>0</v>
      </c>
      <c r="T231" s="473"/>
      <c r="U231" s="458"/>
      <c r="V231" s="463">
        <f t="shared" si="441"/>
        <v>0</v>
      </c>
      <c r="W231" s="464">
        <f t="shared" si="442"/>
        <v>0</v>
      </c>
      <c r="X231" s="459"/>
    </row>
    <row r="232" spans="2:24" ht="15.6">
      <c r="B232" s="334" t="s">
        <v>633</v>
      </c>
      <c r="C232" s="184" t="s">
        <v>645</v>
      </c>
      <c r="D232" s="335" t="s">
        <v>636</v>
      </c>
      <c r="E232" s="185" t="s">
        <v>26</v>
      </c>
      <c r="F232" s="336"/>
      <c r="G232" s="337">
        <v>800</v>
      </c>
      <c r="H232" s="457">
        <f t="shared" si="434"/>
        <v>0</v>
      </c>
      <c r="I232" s="458"/>
      <c r="J232" s="463">
        <f t="shared" si="435"/>
        <v>0</v>
      </c>
      <c r="K232" s="464">
        <f t="shared" si="436"/>
        <v>0</v>
      </c>
      <c r="L232" s="473"/>
      <c r="M232" s="458"/>
      <c r="N232" s="463">
        <f t="shared" si="437"/>
        <v>0</v>
      </c>
      <c r="O232" s="464">
        <f t="shared" si="438"/>
        <v>0</v>
      </c>
      <c r="P232" s="473"/>
      <c r="Q232" s="458"/>
      <c r="R232" s="463">
        <f t="shared" si="439"/>
        <v>0</v>
      </c>
      <c r="S232" s="464">
        <f t="shared" si="440"/>
        <v>0</v>
      </c>
      <c r="T232" s="473"/>
      <c r="U232" s="458"/>
      <c r="V232" s="463">
        <f t="shared" si="441"/>
        <v>0</v>
      </c>
      <c r="W232" s="464">
        <f t="shared" si="442"/>
        <v>0</v>
      </c>
      <c r="X232" s="459"/>
    </row>
    <row r="233" spans="2:24" ht="15.6">
      <c r="B233" s="334" t="s">
        <v>633</v>
      </c>
      <c r="C233" s="184" t="s">
        <v>646</v>
      </c>
      <c r="D233" s="335" t="s">
        <v>637</v>
      </c>
      <c r="E233" s="185" t="s">
        <v>26</v>
      </c>
      <c r="F233" s="336"/>
      <c r="G233" s="337">
        <v>1824.77</v>
      </c>
      <c r="H233" s="457">
        <f t="shared" si="434"/>
        <v>0</v>
      </c>
      <c r="I233" s="458"/>
      <c r="J233" s="463">
        <f t="shared" si="435"/>
        <v>0</v>
      </c>
      <c r="K233" s="464">
        <f t="shared" si="436"/>
        <v>0</v>
      </c>
      <c r="L233" s="473"/>
      <c r="M233" s="458"/>
      <c r="N233" s="463">
        <f t="shared" si="437"/>
        <v>0</v>
      </c>
      <c r="O233" s="464">
        <f t="shared" si="438"/>
        <v>0</v>
      </c>
      <c r="P233" s="473"/>
      <c r="Q233" s="458"/>
      <c r="R233" s="463">
        <f t="shared" si="439"/>
        <v>0</v>
      </c>
      <c r="S233" s="464">
        <f t="shared" si="440"/>
        <v>0</v>
      </c>
      <c r="T233" s="473"/>
      <c r="U233" s="458"/>
      <c r="V233" s="463">
        <f t="shared" si="441"/>
        <v>0</v>
      </c>
      <c r="W233" s="464">
        <f t="shared" si="442"/>
        <v>0</v>
      </c>
      <c r="X233" s="459"/>
    </row>
    <row r="234" spans="2:24" ht="15.6">
      <c r="B234" s="334" t="s">
        <v>633</v>
      </c>
      <c r="C234" s="184" t="s">
        <v>647</v>
      </c>
      <c r="D234" s="335" t="s">
        <v>638</v>
      </c>
      <c r="E234" s="185" t="s">
        <v>26</v>
      </c>
      <c r="F234" s="336"/>
      <c r="G234" s="337">
        <v>1824.77</v>
      </c>
      <c r="H234" s="457">
        <f t="shared" si="434"/>
        <v>0</v>
      </c>
      <c r="I234" s="458"/>
      <c r="J234" s="463">
        <f t="shared" si="435"/>
        <v>0</v>
      </c>
      <c r="K234" s="464">
        <f t="shared" si="436"/>
        <v>0</v>
      </c>
      <c r="L234" s="473"/>
      <c r="M234" s="458"/>
      <c r="N234" s="463">
        <f t="shared" si="437"/>
        <v>0</v>
      </c>
      <c r="O234" s="464">
        <f t="shared" si="438"/>
        <v>0</v>
      </c>
      <c r="P234" s="473"/>
      <c r="Q234" s="458"/>
      <c r="R234" s="463">
        <f t="shared" si="439"/>
        <v>0</v>
      </c>
      <c r="S234" s="464">
        <f t="shared" si="440"/>
        <v>0</v>
      </c>
      <c r="T234" s="473"/>
      <c r="U234" s="458"/>
      <c r="V234" s="463">
        <f t="shared" si="441"/>
        <v>0</v>
      </c>
      <c r="W234" s="464">
        <f t="shared" si="442"/>
        <v>0</v>
      </c>
      <c r="X234" s="459"/>
    </row>
    <row r="235" spans="2:24" ht="15.6">
      <c r="B235" s="334" t="s">
        <v>633</v>
      </c>
      <c r="C235" s="184" t="s">
        <v>648</v>
      </c>
      <c r="D235" s="335" t="s">
        <v>639</v>
      </c>
      <c r="E235" s="185" t="s">
        <v>26</v>
      </c>
      <c r="F235" s="336"/>
      <c r="G235" s="337">
        <v>1824.77</v>
      </c>
      <c r="H235" s="457">
        <f t="shared" si="434"/>
        <v>0</v>
      </c>
      <c r="I235" s="458"/>
      <c r="J235" s="463">
        <f t="shared" si="435"/>
        <v>0</v>
      </c>
      <c r="K235" s="464">
        <f t="shared" si="436"/>
        <v>0</v>
      </c>
      <c r="L235" s="473"/>
      <c r="M235" s="458"/>
      <c r="N235" s="463">
        <f t="shared" si="437"/>
        <v>0</v>
      </c>
      <c r="O235" s="464">
        <f t="shared" si="438"/>
        <v>0</v>
      </c>
      <c r="P235" s="473"/>
      <c r="Q235" s="458"/>
      <c r="R235" s="463">
        <f t="shared" si="439"/>
        <v>0</v>
      </c>
      <c r="S235" s="464">
        <f t="shared" si="440"/>
        <v>0</v>
      </c>
      <c r="T235" s="473"/>
      <c r="U235" s="458"/>
      <c r="V235" s="463">
        <f t="shared" si="441"/>
        <v>0</v>
      </c>
      <c r="W235" s="464">
        <f t="shared" si="442"/>
        <v>0</v>
      </c>
      <c r="X235" s="459"/>
    </row>
    <row r="236" spans="2:24" ht="15.6">
      <c r="B236" s="334" t="s">
        <v>633</v>
      </c>
      <c r="C236" s="184" t="s">
        <v>649</v>
      </c>
      <c r="D236" s="335" t="s">
        <v>640</v>
      </c>
      <c r="E236" s="185" t="s">
        <v>26</v>
      </c>
      <c r="F236" s="336"/>
      <c r="G236" s="337">
        <v>1295.5899999999999</v>
      </c>
      <c r="H236" s="457">
        <f t="shared" si="434"/>
        <v>0</v>
      </c>
      <c r="I236" s="458"/>
      <c r="J236" s="463">
        <f t="shared" si="435"/>
        <v>0</v>
      </c>
      <c r="K236" s="464">
        <f t="shared" si="436"/>
        <v>0</v>
      </c>
      <c r="L236" s="473"/>
      <c r="M236" s="458"/>
      <c r="N236" s="463">
        <f t="shared" si="437"/>
        <v>0</v>
      </c>
      <c r="O236" s="464">
        <f t="shared" si="438"/>
        <v>0</v>
      </c>
      <c r="P236" s="473"/>
      <c r="Q236" s="458"/>
      <c r="R236" s="463">
        <f t="shared" si="439"/>
        <v>0</v>
      </c>
      <c r="S236" s="464">
        <f t="shared" si="440"/>
        <v>0</v>
      </c>
      <c r="T236" s="473"/>
      <c r="U236" s="458"/>
      <c r="V236" s="463">
        <f t="shared" si="441"/>
        <v>0</v>
      </c>
      <c r="W236" s="464">
        <f t="shared" si="442"/>
        <v>0</v>
      </c>
      <c r="X236" s="459"/>
    </row>
    <row r="237" spans="2:24" ht="15.6">
      <c r="B237" s="334" t="s">
        <v>633</v>
      </c>
      <c r="C237" s="184" t="s">
        <v>650</v>
      </c>
      <c r="D237" s="335" t="s">
        <v>665</v>
      </c>
      <c r="E237" s="185" t="s">
        <v>26</v>
      </c>
      <c r="F237" s="336"/>
      <c r="G237" s="337">
        <v>1559.64</v>
      </c>
      <c r="H237" s="457">
        <f t="shared" si="434"/>
        <v>0</v>
      </c>
      <c r="I237" s="458"/>
      <c r="J237" s="463">
        <f t="shared" si="435"/>
        <v>0</v>
      </c>
      <c r="K237" s="464">
        <f t="shared" si="436"/>
        <v>0</v>
      </c>
      <c r="L237" s="473"/>
      <c r="M237" s="458"/>
      <c r="N237" s="463">
        <f t="shared" si="437"/>
        <v>0</v>
      </c>
      <c r="O237" s="464">
        <f t="shared" si="438"/>
        <v>0</v>
      </c>
      <c r="P237" s="473"/>
      <c r="Q237" s="458"/>
      <c r="R237" s="463">
        <f t="shared" si="439"/>
        <v>0</v>
      </c>
      <c r="S237" s="464">
        <f t="shared" si="440"/>
        <v>0</v>
      </c>
      <c r="T237" s="473"/>
      <c r="U237" s="458"/>
      <c r="V237" s="463">
        <f t="shared" si="441"/>
        <v>0</v>
      </c>
      <c r="W237" s="464">
        <f t="shared" si="442"/>
        <v>0</v>
      </c>
      <c r="X237" s="459"/>
    </row>
    <row r="238" spans="2:24" ht="15.6">
      <c r="B238" s="334" t="s">
        <v>633</v>
      </c>
      <c r="C238" s="184" t="s">
        <v>651</v>
      </c>
      <c r="D238" s="335" t="s">
        <v>641</v>
      </c>
      <c r="E238" s="185" t="s">
        <v>26</v>
      </c>
      <c r="F238" s="336"/>
      <c r="G238" s="337">
        <v>1559.64</v>
      </c>
      <c r="H238" s="457">
        <f t="shared" si="434"/>
        <v>0</v>
      </c>
      <c r="I238" s="458"/>
      <c r="J238" s="463">
        <f t="shared" si="435"/>
        <v>0</v>
      </c>
      <c r="K238" s="464">
        <f t="shared" si="436"/>
        <v>0</v>
      </c>
      <c r="L238" s="473"/>
      <c r="M238" s="458"/>
      <c r="N238" s="463">
        <f t="shared" si="437"/>
        <v>0</v>
      </c>
      <c r="O238" s="464">
        <f t="shared" si="438"/>
        <v>0</v>
      </c>
      <c r="P238" s="473"/>
      <c r="Q238" s="458"/>
      <c r="R238" s="463">
        <f t="shared" si="439"/>
        <v>0</v>
      </c>
      <c r="S238" s="464">
        <f t="shared" si="440"/>
        <v>0</v>
      </c>
      <c r="T238" s="473"/>
      <c r="U238" s="458"/>
      <c r="V238" s="463">
        <f t="shared" si="441"/>
        <v>0</v>
      </c>
      <c r="W238" s="464">
        <f t="shared" si="442"/>
        <v>0</v>
      </c>
      <c r="X238" s="459"/>
    </row>
    <row r="239" spans="2:24" ht="15.6">
      <c r="B239" s="334" t="s">
        <v>633</v>
      </c>
      <c r="C239" s="184" t="s">
        <v>652</v>
      </c>
      <c r="D239" s="335" t="s">
        <v>666</v>
      </c>
      <c r="E239" s="185" t="s">
        <v>26</v>
      </c>
      <c r="F239" s="336"/>
      <c r="G239" s="337">
        <v>1603.38</v>
      </c>
      <c r="H239" s="457">
        <f t="shared" si="434"/>
        <v>0</v>
      </c>
      <c r="I239" s="458"/>
      <c r="J239" s="463">
        <f t="shared" si="435"/>
        <v>0</v>
      </c>
      <c r="K239" s="464">
        <f t="shared" si="436"/>
        <v>0</v>
      </c>
      <c r="L239" s="473"/>
      <c r="M239" s="458"/>
      <c r="N239" s="463">
        <f t="shared" si="437"/>
        <v>0</v>
      </c>
      <c r="O239" s="464">
        <f t="shared" si="438"/>
        <v>0</v>
      </c>
      <c r="P239" s="473"/>
      <c r="Q239" s="458"/>
      <c r="R239" s="463">
        <f t="shared" si="439"/>
        <v>0</v>
      </c>
      <c r="S239" s="464">
        <f t="shared" si="440"/>
        <v>0</v>
      </c>
      <c r="T239" s="473"/>
      <c r="U239" s="458"/>
      <c r="V239" s="463">
        <f t="shared" si="441"/>
        <v>0</v>
      </c>
      <c r="W239" s="464">
        <f t="shared" si="442"/>
        <v>0</v>
      </c>
      <c r="X239" s="459"/>
    </row>
    <row r="240" spans="2:24" ht="15.6">
      <c r="B240" s="334" t="s">
        <v>633</v>
      </c>
      <c r="C240" s="184" t="s">
        <v>653</v>
      </c>
      <c r="D240" s="335" t="s">
        <v>642</v>
      </c>
      <c r="E240" s="185" t="s">
        <v>26</v>
      </c>
      <c r="F240" s="336"/>
      <c r="G240" s="337">
        <v>7500</v>
      </c>
      <c r="H240" s="457">
        <f t="shared" si="434"/>
        <v>0</v>
      </c>
      <c r="I240" s="458"/>
      <c r="J240" s="463">
        <f t="shared" si="435"/>
        <v>0</v>
      </c>
      <c r="K240" s="464">
        <f t="shared" si="436"/>
        <v>0</v>
      </c>
      <c r="L240" s="473"/>
      <c r="M240" s="458"/>
      <c r="N240" s="463">
        <f t="shared" si="437"/>
        <v>0</v>
      </c>
      <c r="O240" s="464">
        <f t="shared" si="438"/>
        <v>0</v>
      </c>
      <c r="P240" s="473"/>
      <c r="Q240" s="458"/>
      <c r="R240" s="463">
        <f t="shared" si="439"/>
        <v>0</v>
      </c>
      <c r="S240" s="464">
        <f t="shared" si="440"/>
        <v>0</v>
      </c>
      <c r="T240" s="473"/>
      <c r="U240" s="458"/>
      <c r="V240" s="463">
        <f t="shared" si="441"/>
        <v>0</v>
      </c>
      <c r="W240" s="464">
        <f t="shared" si="442"/>
        <v>0</v>
      </c>
      <c r="X240" s="459"/>
    </row>
    <row r="241" spans="2:24" ht="15.6">
      <c r="B241" s="503" t="s">
        <v>852</v>
      </c>
      <c r="C241" s="504" t="s">
        <v>853</v>
      </c>
      <c r="D241" s="505" t="s">
        <v>854</v>
      </c>
      <c r="E241" s="506" t="s">
        <v>855</v>
      </c>
      <c r="F241" s="140"/>
      <c r="G241" s="337">
        <v>12858.98</v>
      </c>
      <c r="H241" s="457">
        <f>F241*G241</f>
        <v>0</v>
      </c>
      <c r="I241" s="458"/>
      <c r="J241" s="463">
        <f>I241+F241</f>
        <v>0</v>
      </c>
      <c r="K241" s="464">
        <f>J241*G241</f>
        <v>0</v>
      </c>
      <c r="L241" s="473"/>
      <c r="M241" s="458"/>
      <c r="N241" s="463">
        <f>M241+J241</f>
        <v>0</v>
      </c>
      <c r="O241" s="464">
        <f>N241*G241</f>
        <v>0</v>
      </c>
      <c r="P241" s="473"/>
      <c r="Q241" s="458"/>
      <c r="R241" s="463">
        <f>Q241+N241</f>
        <v>0</v>
      </c>
      <c r="S241" s="464">
        <f>R241*G241</f>
        <v>0</v>
      </c>
      <c r="T241" s="473"/>
      <c r="U241" s="458"/>
      <c r="V241" s="463">
        <f>U241+R241</f>
        <v>0</v>
      </c>
      <c r="W241" s="464">
        <f>V241*G241</f>
        <v>0</v>
      </c>
      <c r="X241" s="459"/>
    </row>
    <row r="242" spans="2:24" ht="15.6">
      <c r="B242" s="451" t="s">
        <v>662</v>
      </c>
      <c r="C242" s="452" t="s">
        <v>654</v>
      </c>
      <c r="D242" s="453" t="s">
        <v>659</v>
      </c>
      <c r="E242" s="454" t="s">
        <v>26</v>
      </c>
      <c r="F242" s="455"/>
      <c r="G242" s="456"/>
      <c r="H242" s="457">
        <f t="shared" ref="H242:H250" si="443">F242*G242</f>
        <v>0</v>
      </c>
      <c r="I242" s="458"/>
      <c r="J242" s="463">
        <f t="shared" ref="J242:J252" si="444">I242+F242</f>
        <v>0</v>
      </c>
      <c r="K242" s="464">
        <f t="shared" ref="K242:K252" si="445">J242*G242</f>
        <v>0</v>
      </c>
      <c r="L242" s="473"/>
      <c r="M242" s="458"/>
      <c r="N242" s="463">
        <f t="shared" ref="N242:N252" si="446">M242+J242</f>
        <v>0</v>
      </c>
      <c r="O242" s="464">
        <f t="shared" ref="O242:O252" si="447">N242*G242</f>
        <v>0</v>
      </c>
      <c r="P242" s="473"/>
      <c r="Q242" s="458"/>
      <c r="R242" s="463">
        <f t="shared" ref="R242:R252" si="448">Q242+N242</f>
        <v>0</v>
      </c>
      <c r="S242" s="464">
        <f t="shared" ref="S242:S252" si="449">R242*G242</f>
        <v>0</v>
      </c>
      <c r="T242" s="473"/>
      <c r="U242" s="458"/>
      <c r="V242" s="463">
        <f t="shared" ref="V242:V252" si="450">U242+R242</f>
        <v>0</v>
      </c>
      <c r="W242" s="464">
        <f t="shared" ref="W242:W252" si="451">V242*G242</f>
        <v>0</v>
      </c>
      <c r="X242" s="459"/>
    </row>
    <row r="243" spans="2:24" ht="15.6">
      <c r="B243" s="451" t="s">
        <v>662</v>
      </c>
      <c r="C243" s="452" t="s">
        <v>655</v>
      </c>
      <c r="D243" s="453" t="s">
        <v>746</v>
      </c>
      <c r="E243" s="454" t="s">
        <v>26</v>
      </c>
      <c r="F243" s="455"/>
      <c r="G243" s="337">
        <v>43227.68</v>
      </c>
      <c r="H243" s="457">
        <f t="shared" si="443"/>
        <v>0</v>
      </c>
      <c r="I243" s="458"/>
      <c r="J243" s="463">
        <f t="shared" si="444"/>
        <v>0</v>
      </c>
      <c r="K243" s="464">
        <f t="shared" si="445"/>
        <v>0</v>
      </c>
      <c r="L243" s="473"/>
      <c r="M243" s="458"/>
      <c r="N243" s="463">
        <f t="shared" si="446"/>
        <v>0</v>
      </c>
      <c r="O243" s="464">
        <f t="shared" si="447"/>
        <v>0</v>
      </c>
      <c r="P243" s="473"/>
      <c r="Q243" s="458"/>
      <c r="R243" s="463">
        <f t="shared" si="448"/>
        <v>0</v>
      </c>
      <c r="S243" s="464">
        <f t="shared" si="449"/>
        <v>0</v>
      </c>
      <c r="T243" s="473"/>
      <c r="U243" s="458"/>
      <c r="V243" s="463">
        <f t="shared" si="450"/>
        <v>0</v>
      </c>
      <c r="W243" s="464">
        <f t="shared" si="451"/>
        <v>0</v>
      </c>
      <c r="X243" s="459"/>
    </row>
    <row r="244" spans="2:24" ht="15.6">
      <c r="B244" s="451" t="s">
        <v>662</v>
      </c>
      <c r="C244" s="452" t="s">
        <v>656</v>
      </c>
      <c r="D244" s="453" t="s">
        <v>815</v>
      </c>
      <c r="E244" s="454" t="s">
        <v>26</v>
      </c>
      <c r="F244" s="455"/>
      <c r="G244" s="456"/>
      <c r="H244" s="457">
        <f t="shared" si="443"/>
        <v>0</v>
      </c>
      <c r="I244" s="458"/>
      <c r="J244" s="463">
        <f t="shared" si="444"/>
        <v>0</v>
      </c>
      <c r="K244" s="464">
        <f t="shared" si="445"/>
        <v>0</v>
      </c>
      <c r="L244" s="473"/>
      <c r="M244" s="458"/>
      <c r="N244" s="463">
        <f t="shared" si="446"/>
        <v>0</v>
      </c>
      <c r="O244" s="464">
        <f t="shared" si="447"/>
        <v>0</v>
      </c>
      <c r="P244" s="473"/>
      <c r="Q244" s="458"/>
      <c r="R244" s="463">
        <f t="shared" si="448"/>
        <v>0</v>
      </c>
      <c r="S244" s="464">
        <f t="shared" si="449"/>
        <v>0</v>
      </c>
      <c r="T244" s="473"/>
      <c r="U244" s="458"/>
      <c r="V244" s="463">
        <f t="shared" si="450"/>
        <v>0</v>
      </c>
      <c r="W244" s="464">
        <f t="shared" si="451"/>
        <v>0</v>
      </c>
      <c r="X244" s="459"/>
    </row>
    <row r="245" spans="2:24" ht="15.6">
      <c r="B245" s="451" t="s">
        <v>662</v>
      </c>
      <c r="C245" s="452" t="s">
        <v>745</v>
      </c>
      <c r="D245" s="453" t="s">
        <v>747</v>
      </c>
      <c r="E245" s="454" t="s">
        <v>26</v>
      </c>
      <c r="F245" s="455"/>
      <c r="G245" s="337">
        <v>3500</v>
      </c>
      <c r="H245" s="457">
        <f t="shared" si="443"/>
        <v>0</v>
      </c>
      <c r="I245" s="458"/>
      <c r="J245" s="463">
        <f t="shared" si="444"/>
        <v>0</v>
      </c>
      <c r="K245" s="464">
        <f t="shared" si="445"/>
        <v>0</v>
      </c>
      <c r="L245" s="473"/>
      <c r="M245" s="458"/>
      <c r="N245" s="463">
        <f t="shared" si="446"/>
        <v>0</v>
      </c>
      <c r="O245" s="464">
        <f t="shared" si="447"/>
        <v>0</v>
      </c>
      <c r="P245" s="473"/>
      <c r="Q245" s="458"/>
      <c r="R245" s="463">
        <f t="shared" si="448"/>
        <v>0</v>
      </c>
      <c r="S245" s="464">
        <f t="shared" si="449"/>
        <v>0</v>
      </c>
      <c r="T245" s="473"/>
      <c r="U245" s="458"/>
      <c r="V245" s="463">
        <f t="shared" si="450"/>
        <v>0</v>
      </c>
      <c r="W245" s="464">
        <f t="shared" si="451"/>
        <v>0</v>
      </c>
      <c r="X245" s="459"/>
    </row>
    <row r="246" spans="2:24" ht="15.6">
      <c r="B246" s="451" t="s">
        <v>663</v>
      </c>
      <c r="C246" s="452" t="s">
        <v>657</v>
      </c>
      <c r="D246" s="453" t="s">
        <v>742</v>
      </c>
      <c r="E246" s="454" t="s">
        <v>26</v>
      </c>
      <c r="F246" s="455"/>
      <c r="G246" s="337">
        <v>18261.099999999999</v>
      </c>
      <c r="H246" s="457">
        <f t="shared" si="443"/>
        <v>0</v>
      </c>
      <c r="I246" s="458"/>
      <c r="J246" s="463">
        <f t="shared" si="444"/>
        <v>0</v>
      </c>
      <c r="K246" s="464">
        <f t="shared" si="445"/>
        <v>0</v>
      </c>
      <c r="L246" s="473"/>
      <c r="M246" s="458"/>
      <c r="N246" s="463">
        <f t="shared" si="446"/>
        <v>0</v>
      </c>
      <c r="O246" s="464">
        <f t="shared" si="447"/>
        <v>0</v>
      </c>
      <c r="P246" s="473"/>
      <c r="Q246" s="458"/>
      <c r="R246" s="463">
        <f t="shared" si="448"/>
        <v>0</v>
      </c>
      <c r="S246" s="464">
        <f t="shared" si="449"/>
        <v>0</v>
      </c>
      <c r="T246" s="473"/>
      <c r="U246" s="458"/>
      <c r="V246" s="463">
        <f t="shared" si="450"/>
        <v>0</v>
      </c>
      <c r="W246" s="464">
        <f t="shared" si="451"/>
        <v>0</v>
      </c>
      <c r="X246" s="459"/>
    </row>
    <row r="247" spans="2:24" ht="15.6">
      <c r="B247" s="451" t="s">
        <v>663</v>
      </c>
      <c r="C247" s="452" t="s">
        <v>658</v>
      </c>
      <c r="D247" s="453" t="s">
        <v>743</v>
      </c>
      <c r="E247" s="454" t="s">
        <v>26</v>
      </c>
      <c r="F247" s="455"/>
      <c r="G247" s="337">
        <v>35100</v>
      </c>
      <c r="H247" s="457">
        <f t="shared" si="443"/>
        <v>0</v>
      </c>
      <c r="I247" s="458"/>
      <c r="J247" s="463">
        <f t="shared" si="444"/>
        <v>0</v>
      </c>
      <c r="K247" s="464">
        <f t="shared" si="445"/>
        <v>0</v>
      </c>
      <c r="L247" s="473"/>
      <c r="M247" s="458"/>
      <c r="N247" s="463">
        <f t="shared" si="446"/>
        <v>0</v>
      </c>
      <c r="O247" s="464">
        <f t="shared" si="447"/>
        <v>0</v>
      </c>
      <c r="P247" s="473"/>
      <c r="Q247" s="458"/>
      <c r="R247" s="463">
        <f t="shared" si="448"/>
        <v>0</v>
      </c>
      <c r="S247" s="464">
        <f t="shared" si="449"/>
        <v>0</v>
      </c>
      <c r="T247" s="473"/>
      <c r="U247" s="458"/>
      <c r="V247" s="463">
        <f t="shared" si="450"/>
        <v>0</v>
      </c>
      <c r="W247" s="464">
        <f t="shared" si="451"/>
        <v>0</v>
      </c>
      <c r="X247" s="459"/>
    </row>
    <row r="248" spans="2:24" ht="15.6">
      <c r="B248" s="451" t="s">
        <v>663</v>
      </c>
      <c r="C248" s="452" t="s">
        <v>744</v>
      </c>
      <c r="D248" s="453" t="s">
        <v>828</v>
      </c>
      <c r="E248" s="454" t="s">
        <v>26</v>
      </c>
      <c r="F248" s="455"/>
      <c r="G248" s="337">
        <v>3727.44</v>
      </c>
      <c r="H248" s="457">
        <f t="shared" si="443"/>
        <v>0</v>
      </c>
      <c r="I248" s="458"/>
      <c r="J248" s="463">
        <f t="shared" si="444"/>
        <v>0</v>
      </c>
      <c r="K248" s="464">
        <f t="shared" si="445"/>
        <v>0</v>
      </c>
      <c r="L248" s="473"/>
      <c r="M248" s="458"/>
      <c r="N248" s="463">
        <f t="shared" si="446"/>
        <v>0</v>
      </c>
      <c r="O248" s="464">
        <f t="shared" si="447"/>
        <v>0</v>
      </c>
      <c r="P248" s="473"/>
      <c r="Q248" s="458"/>
      <c r="R248" s="463">
        <f t="shared" si="448"/>
        <v>0</v>
      </c>
      <c r="S248" s="464">
        <f t="shared" si="449"/>
        <v>0</v>
      </c>
      <c r="T248" s="473"/>
      <c r="U248" s="458"/>
      <c r="V248" s="463">
        <f t="shared" si="450"/>
        <v>0</v>
      </c>
      <c r="W248" s="464">
        <f t="shared" si="451"/>
        <v>0</v>
      </c>
      <c r="X248" s="459"/>
    </row>
    <row r="249" spans="2:24" ht="15.6">
      <c r="B249" s="451" t="s">
        <v>664</v>
      </c>
      <c r="C249" s="452" t="s">
        <v>660</v>
      </c>
      <c r="D249" s="453" t="s">
        <v>748</v>
      </c>
      <c r="E249" s="454" t="s">
        <v>26</v>
      </c>
      <c r="F249" s="455"/>
      <c r="G249" s="456"/>
      <c r="H249" s="457">
        <f t="shared" si="443"/>
        <v>0</v>
      </c>
      <c r="I249" s="458"/>
      <c r="J249" s="463">
        <f t="shared" si="444"/>
        <v>0</v>
      </c>
      <c r="K249" s="464">
        <f t="shared" si="445"/>
        <v>0</v>
      </c>
      <c r="L249" s="473"/>
      <c r="M249" s="458"/>
      <c r="N249" s="463">
        <f t="shared" si="446"/>
        <v>0</v>
      </c>
      <c r="O249" s="464">
        <f t="shared" si="447"/>
        <v>0</v>
      </c>
      <c r="P249" s="473"/>
      <c r="Q249" s="458"/>
      <c r="R249" s="463">
        <f t="shared" si="448"/>
        <v>0</v>
      </c>
      <c r="S249" s="464">
        <f t="shared" si="449"/>
        <v>0</v>
      </c>
      <c r="T249" s="473"/>
      <c r="U249" s="458"/>
      <c r="V249" s="463">
        <f t="shared" si="450"/>
        <v>0</v>
      </c>
      <c r="W249" s="464">
        <f t="shared" si="451"/>
        <v>0</v>
      </c>
      <c r="X249" s="459"/>
    </row>
    <row r="250" spans="2:24" ht="15.6">
      <c r="B250" s="451" t="s">
        <v>664</v>
      </c>
      <c r="C250" s="452" t="s">
        <v>661</v>
      </c>
      <c r="D250" s="453" t="s">
        <v>749</v>
      </c>
      <c r="E250" s="454" t="s">
        <v>26</v>
      </c>
      <c r="F250" s="455"/>
      <c r="G250" s="337">
        <v>4150</v>
      </c>
      <c r="H250" s="457">
        <f t="shared" si="443"/>
        <v>0</v>
      </c>
      <c r="I250" s="458"/>
      <c r="J250" s="463">
        <f t="shared" si="444"/>
        <v>0</v>
      </c>
      <c r="K250" s="464">
        <f t="shared" si="445"/>
        <v>0</v>
      </c>
      <c r="L250" s="473"/>
      <c r="M250" s="458"/>
      <c r="N250" s="463">
        <f t="shared" si="446"/>
        <v>0</v>
      </c>
      <c r="O250" s="464">
        <f t="shared" si="447"/>
        <v>0</v>
      </c>
      <c r="P250" s="473"/>
      <c r="Q250" s="458"/>
      <c r="R250" s="463">
        <f t="shared" si="448"/>
        <v>0</v>
      </c>
      <c r="S250" s="464">
        <f t="shared" si="449"/>
        <v>0</v>
      </c>
      <c r="T250" s="473"/>
      <c r="U250" s="458"/>
      <c r="V250" s="463">
        <f t="shared" si="450"/>
        <v>0</v>
      </c>
      <c r="W250" s="464">
        <f t="shared" si="451"/>
        <v>0</v>
      </c>
      <c r="X250" s="459"/>
    </row>
    <row r="251" spans="2:24" ht="15.6">
      <c r="B251" s="183" t="s">
        <v>428</v>
      </c>
      <c r="C251" s="192" t="s">
        <v>155</v>
      </c>
      <c r="D251" s="193" t="s">
        <v>464</v>
      </c>
      <c r="E251" s="185" t="s">
        <v>26</v>
      </c>
      <c r="F251" s="194">
        <f>'FOCUS ANCILLARIES CALC'!E4</f>
        <v>0</v>
      </c>
      <c r="G251" s="267">
        <v>21.23</v>
      </c>
      <c r="H251" s="457">
        <f t="shared" ref="H251" si="452">F251*G251</f>
        <v>0</v>
      </c>
      <c r="I251" s="458"/>
      <c r="J251" s="463">
        <f t="shared" si="444"/>
        <v>0</v>
      </c>
      <c r="K251" s="464">
        <f t="shared" si="445"/>
        <v>0</v>
      </c>
      <c r="L251" s="473"/>
      <c r="M251" s="458"/>
      <c r="N251" s="463">
        <f t="shared" si="446"/>
        <v>0</v>
      </c>
      <c r="O251" s="464">
        <f t="shared" si="447"/>
        <v>0</v>
      </c>
      <c r="P251" s="473"/>
      <c r="Q251" s="458"/>
      <c r="R251" s="463">
        <f t="shared" si="448"/>
        <v>0</v>
      </c>
      <c r="S251" s="464">
        <f t="shared" si="449"/>
        <v>0</v>
      </c>
      <c r="T251" s="473"/>
      <c r="U251" s="458"/>
      <c r="V251" s="463">
        <f t="shared" si="450"/>
        <v>0</v>
      </c>
      <c r="W251" s="464">
        <f t="shared" si="451"/>
        <v>0</v>
      </c>
      <c r="X251" s="459"/>
    </row>
    <row r="252" spans="2:24" ht="15.6">
      <c r="B252" s="183" t="s">
        <v>428</v>
      </c>
      <c r="C252" s="184" t="s">
        <v>190</v>
      </c>
      <c r="D252" s="185" t="s">
        <v>39</v>
      </c>
      <c r="E252" s="185" t="s">
        <v>26</v>
      </c>
      <c r="F252" s="188">
        <f>'FOCUS ANCILLARIES CALC'!E20</f>
        <v>0</v>
      </c>
      <c r="G252" s="262">
        <v>30.535399999999999</v>
      </c>
      <c r="H252" s="457">
        <f t="shared" si="355"/>
        <v>0</v>
      </c>
      <c r="I252" s="458"/>
      <c r="J252" s="463">
        <f t="shared" si="444"/>
        <v>0</v>
      </c>
      <c r="K252" s="464">
        <f t="shared" si="445"/>
        <v>0</v>
      </c>
      <c r="L252" s="473"/>
      <c r="M252" s="458"/>
      <c r="N252" s="463">
        <f t="shared" si="446"/>
        <v>0</v>
      </c>
      <c r="O252" s="464">
        <f t="shared" si="447"/>
        <v>0</v>
      </c>
      <c r="P252" s="473"/>
      <c r="Q252" s="458"/>
      <c r="R252" s="463">
        <f t="shared" si="448"/>
        <v>0</v>
      </c>
      <c r="S252" s="464">
        <f t="shared" si="449"/>
        <v>0</v>
      </c>
      <c r="T252" s="473"/>
      <c r="U252" s="458"/>
      <c r="V252" s="463">
        <f t="shared" si="450"/>
        <v>0</v>
      </c>
      <c r="W252" s="464">
        <f t="shared" si="451"/>
        <v>0</v>
      </c>
      <c r="X252" s="459"/>
    </row>
    <row r="253" spans="2:24" ht="15.6">
      <c r="B253" s="183" t="s">
        <v>428</v>
      </c>
      <c r="C253" s="184" t="s">
        <v>191</v>
      </c>
      <c r="D253" s="185" t="s">
        <v>41</v>
      </c>
      <c r="E253" s="185" t="s">
        <v>26</v>
      </c>
      <c r="F253" s="96"/>
      <c r="G253" s="262">
        <v>31.222899999999999</v>
      </c>
      <c r="H253" s="457">
        <f t="shared" si="355"/>
        <v>0</v>
      </c>
      <c r="I253" s="458"/>
      <c r="J253" s="463">
        <f t="shared" si="356"/>
        <v>0</v>
      </c>
      <c r="K253" s="464">
        <f t="shared" si="357"/>
        <v>0</v>
      </c>
      <c r="L253" s="473"/>
      <c r="M253" s="458"/>
      <c r="N253" s="463">
        <f t="shared" si="358"/>
        <v>0</v>
      </c>
      <c r="O253" s="464">
        <f t="shared" si="359"/>
        <v>0</v>
      </c>
      <c r="P253" s="473"/>
      <c r="Q253" s="458"/>
      <c r="R253" s="463">
        <f t="shared" si="360"/>
        <v>0</v>
      </c>
      <c r="S253" s="464">
        <f t="shared" si="361"/>
        <v>0</v>
      </c>
      <c r="T253" s="473"/>
      <c r="U253" s="458"/>
      <c r="V253" s="463">
        <f t="shared" ref="V253:V262" si="453">U253+R253</f>
        <v>0</v>
      </c>
      <c r="W253" s="464">
        <f t="shared" ref="W253:W262" si="454">V253*G253</f>
        <v>0</v>
      </c>
      <c r="X253" s="459"/>
    </row>
    <row r="254" spans="2:24" ht="15.6">
      <c r="B254" s="183" t="s">
        <v>428</v>
      </c>
      <c r="C254" s="184" t="s">
        <v>171</v>
      </c>
      <c r="D254" s="185" t="s">
        <v>43</v>
      </c>
      <c r="E254" s="185" t="s">
        <v>26</v>
      </c>
      <c r="F254" s="99"/>
      <c r="G254" s="262">
        <v>117.4598</v>
      </c>
      <c r="H254" s="457">
        <f t="shared" si="355"/>
        <v>0</v>
      </c>
      <c r="I254" s="458"/>
      <c r="J254" s="463">
        <f t="shared" si="356"/>
        <v>0</v>
      </c>
      <c r="K254" s="464">
        <f t="shared" si="357"/>
        <v>0</v>
      </c>
      <c r="L254" s="473"/>
      <c r="M254" s="458"/>
      <c r="N254" s="463">
        <f t="shared" si="358"/>
        <v>0</v>
      </c>
      <c r="O254" s="464">
        <f t="shared" si="359"/>
        <v>0</v>
      </c>
      <c r="P254" s="473"/>
      <c r="Q254" s="458"/>
      <c r="R254" s="463">
        <f t="shared" si="360"/>
        <v>0</v>
      </c>
      <c r="S254" s="464">
        <f t="shared" si="361"/>
        <v>0</v>
      </c>
      <c r="T254" s="473"/>
      <c r="U254" s="458"/>
      <c r="V254" s="463">
        <f t="shared" si="453"/>
        <v>0</v>
      </c>
      <c r="W254" s="464">
        <f t="shared" si="454"/>
        <v>0</v>
      </c>
      <c r="X254" s="459"/>
    </row>
    <row r="255" spans="2:24" ht="15.6">
      <c r="B255" s="183" t="s">
        <v>428</v>
      </c>
      <c r="C255" s="184" t="s">
        <v>181</v>
      </c>
      <c r="D255" s="185" t="s">
        <v>44</v>
      </c>
      <c r="E255" s="185" t="s">
        <v>26</v>
      </c>
      <c r="F255" s="96"/>
      <c r="G255" s="262">
        <v>117.46</v>
      </c>
      <c r="H255" s="457">
        <f t="shared" si="355"/>
        <v>0</v>
      </c>
      <c r="I255" s="458"/>
      <c r="J255" s="463">
        <f t="shared" si="356"/>
        <v>0</v>
      </c>
      <c r="K255" s="464">
        <f t="shared" si="357"/>
        <v>0</v>
      </c>
      <c r="L255" s="473"/>
      <c r="M255" s="458"/>
      <c r="N255" s="463">
        <f t="shared" si="358"/>
        <v>0</v>
      </c>
      <c r="O255" s="464">
        <f t="shared" si="359"/>
        <v>0</v>
      </c>
      <c r="P255" s="473"/>
      <c r="Q255" s="458"/>
      <c r="R255" s="463">
        <f t="shared" si="360"/>
        <v>0</v>
      </c>
      <c r="S255" s="464">
        <f t="shared" si="361"/>
        <v>0</v>
      </c>
      <c r="T255" s="473"/>
      <c r="U255" s="458"/>
      <c r="V255" s="463">
        <f t="shared" si="453"/>
        <v>0</v>
      </c>
      <c r="W255" s="464">
        <f t="shared" si="454"/>
        <v>0</v>
      </c>
      <c r="X255" s="459"/>
    </row>
    <row r="256" spans="2:24" ht="15.6">
      <c r="B256" s="183" t="s">
        <v>428</v>
      </c>
      <c r="C256" s="184" t="s">
        <v>194</v>
      </c>
      <c r="D256" s="185" t="s">
        <v>45</v>
      </c>
      <c r="E256" s="185" t="s">
        <v>26</v>
      </c>
      <c r="F256" s="96"/>
      <c r="G256" s="262">
        <v>74.774000000000001</v>
      </c>
      <c r="H256" s="457">
        <f t="shared" si="355"/>
        <v>0</v>
      </c>
      <c r="I256" s="458"/>
      <c r="J256" s="463">
        <f t="shared" si="356"/>
        <v>0</v>
      </c>
      <c r="K256" s="464">
        <f t="shared" si="357"/>
        <v>0</v>
      </c>
      <c r="L256" s="473"/>
      <c r="M256" s="458"/>
      <c r="N256" s="463">
        <f t="shared" si="358"/>
        <v>0</v>
      </c>
      <c r="O256" s="464">
        <f t="shared" si="359"/>
        <v>0</v>
      </c>
      <c r="P256" s="473"/>
      <c r="Q256" s="458"/>
      <c r="R256" s="463">
        <f t="shared" si="360"/>
        <v>0</v>
      </c>
      <c r="S256" s="464">
        <f t="shared" si="361"/>
        <v>0</v>
      </c>
      <c r="T256" s="473"/>
      <c r="U256" s="458"/>
      <c r="V256" s="463">
        <f t="shared" si="453"/>
        <v>0</v>
      </c>
      <c r="W256" s="464">
        <f t="shared" si="454"/>
        <v>0</v>
      </c>
      <c r="X256" s="459"/>
    </row>
    <row r="257" spans="2:24" ht="15.6">
      <c r="B257" s="183" t="s">
        <v>428</v>
      </c>
      <c r="C257" s="184" t="s">
        <v>180</v>
      </c>
      <c r="D257" s="185" t="s">
        <v>46</v>
      </c>
      <c r="E257" s="185" t="s">
        <v>26</v>
      </c>
      <c r="F257" s="188">
        <f>'FOCUS ANCILLARIES CALC'!E15</f>
        <v>0</v>
      </c>
      <c r="G257" s="262">
        <v>395.69389999999999</v>
      </c>
      <c r="H257" s="457">
        <f t="shared" si="355"/>
        <v>0</v>
      </c>
      <c r="I257" s="458"/>
      <c r="J257" s="463">
        <f t="shared" si="356"/>
        <v>0</v>
      </c>
      <c r="K257" s="464">
        <f t="shared" si="357"/>
        <v>0</v>
      </c>
      <c r="L257" s="473"/>
      <c r="M257" s="458"/>
      <c r="N257" s="463">
        <f t="shared" si="358"/>
        <v>0</v>
      </c>
      <c r="O257" s="464">
        <f t="shared" si="359"/>
        <v>0</v>
      </c>
      <c r="P257" s="473"/>
      <c r="Q257" s="458"/>
      <c r="R257" s="463">
        <f t="shared" si="360"/>
        <v>0</v>
      </c>
      <c r="S257" s="464">
        <f t="shared" si="361"/>
        <v>0</v>
      </c>
      <c r="T257" s="473"/>
      <c r="U257" s="458"/>
      <c r="V257" s="463">
        <f t="shared" si="453"/>
        <v>0</v>
      </c>
      <c r="W257" s="464">
        <f t="shared" si="454"/>
        <v>0</v>
      </c>
      <c r="X257" s="459"/>
    </row>
    <row r="258" spans="2:24" ht="15.6">
      <c r="B258" s="183" t="s">
        <v>428</v>
      </c>
      <c r="C258" s="184" t="s">
        <v>260</v>
      </c>
      <c r="D258" s="185" t="s">
        <v>261</v>
      </c>
      <c r="E258" s="185" t="s">
        <v>26</v>
      </c>
      <c r="F258" s="188">
        <f>'FOCUS ANCILLARIES CALC'!E24</f>
        <v>0</v>
      </c>
      <c r="G258" s="262">
        <v>722.5</v>
      </c>
      <c r="H258" s="457">
        <f t="shared" si="355"/>
        <v>0</v>
      </c>
      <c r="I258" s="458"/>
      <c r="J258" s="463">
        <f t="shared" si="356"/>
        <v>0</v>
      </c>
      <c r="K258" s="464">
        <f t="shared" si="357"/>
        <v>0</v>
      </c>
      <c r="L258" s="473"/>
      <c r="M258" s="458"/>
      <c r="N258" s="463">
        <f t="shared" si="358"/>
        <v>0</v>
      </c>
      <c r="O258" s="464">
        <f t="shared" si="359"/>
        <v>0</v>
      </c>
      <c r="P258" s="473"/>
      <c r="Q258" s="458"/>
      <c r="R258" s="463">
        <f t="shared" si="360"/>
        <v>0</v>
      </c>
      <c r="S258" s="464">
        <f t="shared" si="361"/>
        <v>0</v>
      </c>
      <c r="T258" s="473"/>
      <c r="U258" s="458"/>
      <c r="V258" s="463">
        <f t="shared" si="453"/>
        <v>0</v>
      </c>
      <c r="W258" s="464">
        <f t="shared" si="454"/>
        <v>0</v>
      </c>
      <c r="X258" s="459"/>
    </row>
    <row r="259" spans="2:24" ht="15.6">
      <c r="B259" s="183" t="s">
        <v>428</v>
      </c>
      <c r="C259" s="184" t="s">
        <v>183</v>
      </c>
      <c r="D259" s="185" t="s">
        <v>48</v>
      </c>
      <c r="E259" s="185" t="s">
        <v>26</v>
      </c>
      <c r="F259" s="188">
        <f>'FOCUS ANCILLARIES CALC'!E17</f>
        <v>0</v>
      </c>
      <c r="G259" s="262">
        <v>1.44</v>
      </c>
      <c r="H259" s="457">
        <f t="shared" si="355"/>
        <v>0</v>
      </c>
      <c r="I259" s="458"/>
      <c r="J259" s="463">
        <f t="shared" si="356"/>
        <v>0</v>
      </c>
      <c r="K259" s="464">
        <f t="shared" si="357"/>
        <v>0</v>
      </c>
      <c r="L259" s="473"/>
      <c r="M259" s="458"/>
      <c r="N259" s="463">
        <f t="shared" si="358"/>
        <v>0</v>
      </c>
      <c r="O259" s="464">
        <f t="shared" si="359"/>
        <v>0</v>
      </c>
      <c r="P259" s="473"/>
      <c r="Q259" s="458"/>
      <c r="R259" s="463">
        <f t="shared" si="360"/>
        <v>0</v>
      </c>
      <c r="S259" s="464">
        <f t="shared" si="361"/>
        <v>0</v>
      </c>
      <c r="T259" s="473"/>
      <c r="U259" s="458"/>
      <c r="V259" s="463">
        <f t="shared" si="453"/>
        <v>0</v>
      </c>
      <c r="W259" s="464">
        <f t="shared" si="454"/>
        <v>0</v>
      </c>
      <c r="X259" s="459"/>
    </row>
    <row r="260" spans="2:24" ht="15.6">
      <c r="B260" s="183" t="s">
        <v>428</v>
      </c>
      <c r="C260" s="184" t="s">
        <v>193</v>
      </c>
      <c r="D260" s="185" t="s">
        <v>49</v>
      </c>
      <c r="E260" s="185" t="s">
        <v>26</v>
      </c>
      <c r="F260" s="188">
        <f>'FOCUS ANCILLARIES CALC'!E22</f>
        <v>0</v>
      </c>
      <c r="G260" s="262">
        <v>1.5</v>
      </c>
      <c r="H260" s="457">
        <f t="shared" si="355"/>
        <v>0</v>
      </c>
      <c r="I260" s="458"/>
      <c r="J260" s="463">
        <f t="shared" si="356"/>
        <v>0</v>
      </c>
      <c r="K260" s="464">
        <f t="shared" si="357"/>
        <v>0</v>
      </c>
      <c r="L260" s="473"/>
      <c r="M260" s="458"/>
      <c r="N260" s="463">
        <f t="shared" si="358"/>
        <v>0</v>
      </c>
      <c r="O260" s="464">
        <f t="shared" si="359"/>
        <v>0</v>
      </c>
      <c r="P260" s="473"/>
      <c r="Q260" s="458"/>
      <c r="R260" s="463">
        <f t="shared" si="360"/>
        <v>0</v>
      </c>
      <c r="S260" s="464">
        <f t="shared" si="361"/>
        <v>0</v>
      </c>
      <c r="T260" s="473"/>
      <c r="U260" s="458"/>
      <c r="V260" s="463">
        <f t="shared" si="453"/>
        <v>0</v>
      </c>
      <c r="W260" s="464">
        <f t="shared" si="454"/>
        <v>0</v>
      </c>
      <c r="X260" s="459"/>
    </row>
    <row r="261" spans="2:24" ht="15.6">
      <c r="B261" s="183" t="s">
        <v>428</v>
      </c>
      <c r="C261" s="184" t="s">
        <v>263</v>
      </c>
      <c r="D261" s="185" t="s">
        <v>50</v>
      </c>
      <c r="E261" s="185" t="s">
        <v>26</v>
      </c>
      <c r="F261" s="188">
        <f>'FOCUS ANCILLARIES CALC'!E5</f>
        <v>0</v>
      </c>
      <c r="G261" s="262">
        <v>7.5</v>
      </c>
      <c r="H261" s="457">
        <f t="shared" si="355"/>
        <v>0</v>
      </c>
      <c r="I261" s="458"/>
      <c r="J261" s="463">
        <f t="shared" si="356"/>
        <v>0</v>
      </c>
      <c r="K261" s="464">
        <f t="shared" si="357"/>
        <v>0</v>
      </c>
      <c r="L261" s="473"/>
      <c r="M261" s="458"/>
      <c r="N261" s="463">
        <f t="shared" si="358"/>
        <v>0</v>
      </c>
      <c r="O261" s="464">
        <f t="shared" si="359"/>
        <v>0</v>
      </c>
      <c r="P261" s="473"/>
      <c r="Q261" s="458"/>
      <c r="R261" s="463">
        <f t="shared" si="360"/>
        <v>0</v>
      </c>
      <c r="S261" s="464">
        <f t="shared" si="361"/>
        <v>0</v>
      </c>
      <c r="T261" s="473"/>
      <c r="U261" s="458"/>
      <c r="V261" s="463">
        <f t="shared" si="453"/>
        <v>0</v>
      </c>
      <c r="W261" s="464">
        <f t="shared" si="454"/>
        <v>0</v>
      </c>
      <c r="X261" s="459"/>
    </row>
    <row r="262" spans="2:24" ht="15.6">
      <c r="B262" s="183" t="s">
        <v>428</v>
      </c>
      <c r="C262" s="184" t="s">
        <v>256</v>
      </c>
      <c r="D262" s="185" t="s">
        <v>257</v>
      </c>
      <c r="E262" s="185" t="s">
        <v>26</v>
      </c>
      <c r="F262" s="187">
        <f>'ROUTE INFO'!F31+'ROUTE INFO'!F32</f>
        <v>0</v>
      </c>
      <c r="G262" s="262">
        <v>6.38</v>
      </c>
      <c r="H262" s="457">
        <f t="shared" si="355"/>
        <v>0</v>
      </c>
      <c r="I262" s="458"/>
      <c r="J262" s="463">
        <f t="shared" si="356"/>
        <v>0</v>
      </c>
      <c r="K262" s="464">
        <f t="shared" si="357"/>
        <v>0</v>
      </c>
      <c r="L262" s="473"/>
      <c r="M262" s="458"/>
      <c r="N262" s="463">
        <f t="shared" si="358"/>
        <v>0</v>
      </c>
      <c r="O262" s="464">
        <f t="shared" si="359"/>
        <v>0</v>
      </c>
      <c r="P262" s="473"/>
      <c r="Q262" s="458"/>
      <c r="R262" s="463">
        <f t="shared" si="360"/>
        <v>0</v>
      </c>
      <c r="S262" s="464">
        <f t="shared" si="361"/>
        <v>0</v>
      </c>
      <c r="T262" s="473"/>
      <c r="U262" s="458"/>
      <c r="V262" s="463">
        <f t="shared" si="453"/>
        <v>0</v>
      </c>
      <c r="W262" s="464">
        <f t="shared" si="454"/>
        <v>0</v>
      </c>
      <c r="X262" s="459"/>
    </row>
    <row r="263" spans="2:24" ht="15.6">
      <c r="B263" s="619" t="s">
        <v>1056</v>
      </c>
      <c r="C263" s="620" t="s">
        <v>1057</v>
      </c>
      <c r="D263" s="621" t="s">
        <v>1230</v>
      </c>
      <c r="E263" s="621" t="s">
        <v>26</v>
      </c>
      <c r="F263" s="187">
        <f>'ROUTE INFO'!C26</f>
        <v>0</v>
      </c>
      <c r="G263" s="622">
        <v>60.34</v>
      </c>
      <c r="H263" s="457">
        <f t="shared" ref="H263:H272" si="455">F263*G263</f>
        <v>0</v>
      </c>
      <c r="I263" s="458"/>
      <c r="J263" s="463">
        <f t="shared" ref="J263:J272" si="456">I263+F263</f>
        <v>0</v>
      </c>
      <c r="K263" s="464">
        <f t="shared" ref="K263:K272" si="457">J263*G263</f>
        <v>0</v>
      </c>
      <c r="L263" s="473"/>
      <c r="M263" s="458"/>
      <c r="N263" s="463">
        <f t="shared" ref="N263:N272" si="458">M263+J263</f>
        <v>0</v>
      </c>
      <c r="O263" s="464">
        <f t="shared" ref="O263:O272" si="459">N263*G263</f>
        <v>0</v>
      </c>
      <c r="P263" s="473"/>
      <c r="Q263" s="458"/>
      <c r="R263" s="463">
        <f t="shared" ref="R263:R272" si="460">Q263+N263</f>
        <v>0</v>
      </c>
      <c r="S263" s="464">
        <f t="shared" ref="S263:S272" si="461">R263*G263</f>
        <v>0</v>
      </c>
      <c r="T263" s="473"/>
      <c r="U263" s="458"/>
      <c r="V263" s="463">
        <f t="shared" ref="V263:V272" si="462">U263+R263</f>
        <v>0</v>
      </c>
      <c r="W263" s="464">
        <f t="shared" ref="W263:W272" si="463">V263*G263</f>
        <v>0</v>
      </c>
      <c r="X263" s="459"/>
    </row>
    <row r="264" spans="2:24" ht="15.6">
      <c r="B264" s="619" t="s">
        <v>1056</v>
      </c>
      <c r="C264" s="620" t="s">
        <v>1058</v>
      </c>
      <c r="D264" s="621" t="s">
        <v>1229</v>
      </c>
      <c r="E264" s="621" t="s">
        <v>26</v>
      </c>
      <c r="F264" s="187">
        <f>'ROUTE INFO'!C26</f>
        <v>0</v>
      </c>
      <c r="G264" s="622">
        <v>97.08</v>
      </c>
      <c r="H264" s="457">
        <f t="shared" si="455"/>
        <v>0</v>
      </c>
      <c r="I264" s="458"/>
      <c r="J264" s="463">
        <f t="shared" si="456"/>
        <v>0</v>
      </c>
      <c r="K264" s="464">
        <f t="shared" si="457"/>
        <v>0</v>
      </c>
      <c r="L264" s="473"/>
      <c r="M264" s="458"/>
      <c r="N264" s="463">
        <f t="shared" si="458"/>
        <v>0</v>
      </c>
      <c r="O264" s="464">
        <f t="shared" si="459"/>
        <v>0</v>
      </c>
      <c r="P264" s="473"/>
      <c r="Q264" s="458"/>
      <c r="R264" s="463">
        <f t="shared" si="460"/>
        <v>0</v>
      </c>
      <c r="S264" s="464">
        <f t="shared" si="461"/>
        <v>0</v>
      </c>
      <c r="T264" s="473"/>
      <c r="U264" s="458"/>
      <c r="V264" s="463">
        <f t="shared" si="462"/>
        <v>0</v>
      </c>
      <c r="W264" s="464">
        <f t="shared" si="463"/>
        <v>0</v>
      </c>
      <c r="X264" s="459"/>
    </row>
    <row r="265" spans="2:24" ht="15.6">
      <c r="B265" s="619" t="s">
        <v>1056</v>
      </c>
      <c r="C265" s="620" t="s">
        <v>1059</v>
      </c>
      <c r="D265" s="621" t="s">
        <v>1228</v>
      </c>
      <c r="E265" s="621" t="s">
        <v>26</v>
      </c>
      <c r="F265" s="187">
        <f>'ROUTE INFO'!C26</f>
        <v>0</v>
      </c>
      <c r="G265" s="622">
        <v>43.88</v>
      </c>
      <c r="H265" s="457">
        <f t="shared" si="455"/>
        <v>0</v>
      </c>
      <c r="I265" s="458"/>
      <c r="J265" s="463">
        <f t="shared" si="456"/>
        <v>0</v>
      </c>
      <c r="K265" s="464">
        <f t="shared" si="457"/>
        <v>0</v>
      </c>
      <c r="L265" s="473"/>
      <c r="M265" s="458"/>
      <c r="N265" s="463">
        <f t="shared" si="458"/>
        <v>0</v>
      </c>
      <c r="O265" s="464">
        <f t="shared" si="459"/>
        <v>0</v>
      </c>
      <c r="P265" s="473"/>
      <c r="Q265" s="458"/>
      <c r="R265" s="463">
        <f t="shared" si="460"/>
        <v>0</v>
      </c>
      <c r="S265" s="464">
        <f t="shared" si="461"/>
        <v>0</v>
      </c>
      <c r="T265" s="473"/>
      <c r="U265" s="458"/>
      <c r="V265" s="463">
        <f t="shared" si="462"/>
        <v>0</v>
      </c>
      <c r="W265" s="464">
        <f t="shared" si="463"/>
        <v>0</v>
      </c>
      <c r="X265" s="459"/>
    </row>
    <row r="266" spans="2:24" ht="15.6">
      <c r="B266" s="619" t="s">
        <v>1056</v>
      </c>
      <c r="C266" s="620" t="s">
        <v>1060</v>
      </c>
      <c r="D266" s="621" t="s">
        <v>1227</v>
      </c>
      <c r="E266" s="621" t="s">
        <v>26</v>
      </c>
      <c r="F266" s="96"/>
      <c r="G266" s="622">
        <v>13.41</v>
      </c>
      <c r="H266" s="457">
        <f t="shared" si="455"/>
        <v>0</v>
      </c>
      <c r="I266" s="458"/>
      <c r="J266" s="463">
        <f t="shared" si="456"/>
        <v>0</v>
      </c>
      <c r="K266" s="464">
        <f t="shared" si="457"/>
        <v>0</v>
      </c>
      <c r="L266" s="473"/>
      <c r="M266" s="458"/>
      <c r="N266" s="463">
        <f t="shared" si="458"/>
        <v>0</v>
      </c>
      <c r="O266" s="464">
        <f t="shared" si="459"/>
        <v>0</v>
      </c>
      <c r="P266" s="473"/>
      <c r="Q266" s="458"/>
      <c r="R266" s="463">
        <f t="shared" si="460"/>
        <v>0</v>
      </c>
      <c r="S266" s="464">
        <f t="shared" si="461"/>
        <v>0</v>
      </c>
      <c r="T266" s="473"/>
      <c r="U266" s="458"/>
      <c r="V266" s="463">
        <f t="shared" si="462"/>
        <v>0</v>
      </c>
      <c r="W266" s="464">
        <f t="shared" si="463"/>
        <v>0</v>
      </c>
      <c r="X266" s="459"/>
    </row>
    <row r="267" spans="2:24" ht="15.6">
      <c r="B267" s="619" t="s">
        <v>1056</v>
      </c>
      <c r="C267" s="620" t="s">
        <v>1231</v>
      </c>
      <c r="D267" s="621" t="s">
        <v>1232</v>
      </c>
      <c r="E267" s="621" t="s">
        <v>23</v>
      </c>
      <c r="F267" s="187">
        <f>'ROUTE INFO'!C26*5</f>
        <v>0</v>
      </c>
      <c r="G267" s="622">
        <v>7.2</v>
      </c>
      <c r="H267" s="457">
        <f t="shared" ref="H267:H268" si="464">F267*G267</f>
        <v>0</v>
      </c>
      <c r="I267" s="458"/>
      <c r="J267" s="463">
        <f t="shared" ref="J267:J268" si="465">I267+F267</f>
        <v>0</v>
      </c>
      <c r="K267" s="464">
        <f t="shared" ref="K267:K268" si="466">J267*G267</f>
        <v>0</v>
      </c>
      <c r="L267" s="473"/>
      <c r="M267" s="458"/>
      <c r="N267" s="463">
        <f t="shared" ref="N267:N268" si="467">M267+J267</f>
        <v>0</v>
      </c>
      <c r="O267" s="464">
        <f t="shared" ref="O267:O268" si="468">N267*G267</f>
        <v>0</v>
      </c>
      <c r="P267" s="473"/>
      <c r="Q267" s="458"/>
      <c r="R267" s="463">
        <f t="shared" ref="R267:R268" si="469">Q267+N267</f>
        <v>0</v>
      </c>
      <c r="S267" s="464">
        <f t="shared" ref="S267:S268" si="470">R267*G267</f>
        <v>0</v>
      </c>
      <c r="T267" s="473"/>
      <c r="U267" s="458"/>
      <c r="V267" s="463">
        <f t="shared" ref="V267:V268" si="471">U267+R267</f>
        <v>0</v>
      </c>
      <c r="W267" s="464">
        <f t="shared" ref="W267:W268" si="472">V267*G267</f>
        <v>0</v>
      </c>
      <c r="X267" s="459"/>
    </row>
    <row r="268" spans="2:24" ht="15.6">
      <c r="B268" s="619" t="s">
        <v>1056</v>
      </c>
      <c r="C268" s="620" t="s">
        <v>1061</v>
      </c>
      <c r="D268" s="621" t="s">
        <v>1062</v>
      </c>
      <c r="E268" s="621" t="s">
        <v>23</v>
      </c>
      <c r="F268" s="187">
        <f>'ROUTE INFO'!I32</f>
        <v>0</v>
      </c>
      <c r="G268" s="622">
        <v>80.319999999999993</v>
      </c>
      <c r="H268" s="457">
        <f t="shared" si="464"/>
        <v>0</v>
      </c>
      <c r="I268" s="458"/>
      <c r="J268" s="463">
        <f t="shared" si="465"/>
        <v>0</v>
      </c>
      <c r="K268" s="464">
        <f t="shared" si="466"/>
        <v>0</v>
      </c>
      <c r="L268" s="473"/>
      <c r="M268" s="458"/>
      <c r="N268" s="463">
        <f t="shared" si="467"/>
        <v>0</v>
      </c>
      <c r="O268" s="464">
        <f t="shared" si="468"/>
        <v>0</v>
      </c>
      <c r="P268" s="473"/>
      <c r="Q268" s="458"/>
      <c r="R268" s="463">
        <f t="shared" si="469"/>
        <v>0</v>
      </c>
      <c r="S268" s="464">
        <f t="shared" si="470"/>
        <v>0</v>
      </c>
      <c r="T268" s="473"/>
      <c r="U268" s="458"/>
      <c r="V268" s="463">
        <f t="shared" si="471"/>
        <v>0</v>
      </c>
      <c r="W268" s="464">
        <f t="shared" si="472"/>
        <v>0</v>
      </c>
      <c r="X268" s="459"/>
    </row>
    <row r="269" spans="2:24" ht="15.6">
      <c r="B269" s="619" t="s">
        <v>1056</v>
      </c>
      <c r="C269" s="620" t="s">
        <v>1063</v>
      </c>
      <c r="D269" s="621" t="s">
        <v>1064</v>
      </c>
      <c r="E269" s="621" t="s">
        <v>23</v>
      </c>
      <c r="F269" s="187">
        <f>'ROUTE INFO'!I30</f>
        <v>0</v>
      </c>
      <c r="G269" s="622">
        <v>30.61</v>
      </c>
      <c r="H269" s="457">
        <f t="shared" si="455"/>
        <v>0</v>
      </c>
      <c r="I269" s="458"/>
      <c r="J269" s="463">
        <f t="shared" si="456"/>
        <v>0</v>
      </c>
      <c r="K269" s="464">
        <f t="shared" si="457"/>
        <v>0</v>
      </c>
      <c r="L269" s="473"/>
      <c r="M269" s="458"/>
      <c r="N269" s="463">
        <f t="shared" si="458"/>
        <v>0</v>
      </c>
      <c r="O269" s="464">
        <f t="shared" si="459"/>
        <v>0</v>
      </c>
      <c r="P269" s="473"/>
      <c r="Q269" s="458"/>
      <c r="R269" s="463">
        <f t="shared" si="460"/>
        <v>0</v>
      </c>
      <c r="S269" s="464">
        <f t="shared" si="461"/>
        <v>0</v>
      </c>
      <c r="T269" s="473"/>
      <c r="U269" s="458"/>
      <c r="V269" s="463">
        <f t="shared" si="462"/>
        <v>0</v>
      </c>
      <c r="W269" s="464">
        <f t="shared" si="463"/>
        <v>0</v>
      </c>
      <c r="X269" s="459"/>
    </row>
    <row r="270" spans="2:24" ht="15.6">
      <c r="B270" s="619" t="s">
        <v>1056</v>
      </c>
      <c r="C270" s="620" t="s">
        <v>1065</v>
      </c>
      <c r="D270" s="621" t="s">
        <v>1066</v>
      </c>
      <c r="E270" s="621" t="s">
        <v>23</v>
      </c>
      <c r="F270" s="187">
        <f>'ROUTE INFO'!I31</f>
        <v>0</v>
      </c>
      <c r="G270" s="622">
        <v>49.37</v>
      </c>
      <c r="H270" s="457">
        <f t="shared" si="455"/>
        <v>0</v>
      </c>
      <c r="I270" s="458"/>
      <c r="J270" s="463">
        <f t="shared" si="456"/>
        <v>0</v>
      </c>
      <c r="K270" s="464">
        <f t="shared" si="457"/>
        <v>0</v>
      </c>
      <c r="L270" s="473"/>
      <c r="M270" s="458"/>
      <c r="N270" s="463">
        <f t="shared" si="458"/>
        <v>0</v>
      </c>
      <c r="O270" s="464">
        <f t="shared" si="459"/>
        <v>0</v>
      </c>
      <c r="P270" s="473"/>
      <c r="Q270" s="458"/>
      <c r="R270" s="463">
        <f t="shared" si="460"/>
        <v>0</v>
      </c>
      <c r="S270" s="464">
        <f t="shared" si="461"/>
        <v>0</v>
      </c>
      <c r="T270" s="473"/>
      <c r="U270" s="458"/>
      <c r="V270" s="463">
        <f t="shared" si="462"/>
        <v>0</v>
      </c>
      <c r="W270" s="464">
        <f t="shared" si="463"/>
        <v>0</v>
      </c>
      <c r="X270" s="459"/>
    </row>
    <row r="271" spans="2:24" ht="15.6">
      <c r="B271" s="619" t="s">
        <v>1056</v>
      </c>
      <c r="C271" s="620" t="s">
        <v>1067</v>
      </c>
      <c r="D271" s="621" t="s">
        <v>1068</v>
      </c>
      <c r="E271" s="621" t="s">
        <v>23</v>
      </c>
      <c r="F271" s="96"/>
      <c r="G271" s="622">
        <v>3.03</v>
      </c>
      <c r="H271" s="457">
        <f t="shared" si="455"/>
        <v>0</v>
      </c>
      <c r="I271" s="458"/>
      <c r="J271" s="463">
        <f t="shared" si="456"/>
        <v>0</v>
      </c>
      <c r="K271" s="464">
        <f t="shared" si="457"/>
        <v>0</v>
      </c>
      <c r="L271" s="473"/>
      <c r="M271" s="458"/>
      <c r="N271" s="463">
        <f t="shared" si="458"/>
        <v>0</v>
      </c>
      <c r="O271" s="464">
        <f t="shared" si="459"/>
        <v>0</v>
      </c>
      <c r="P271" s="473"/>
      <c r="Q271" s="458"/>
      <c r="R271" s="463">
        <f t="shared" si="460"/>
        <v>0</v>
      </c>
      <c r="S271" s="464">
        <f t="shared" si="461"/>
        <v>0</v>
      </c>
      <c r="T271" s="473"/>
      <c r="U271" s="458"/>
      <c r="V271" s="463">
        <f t="shared" si="462"/>
        <v>0</v>
      </c>
      <c r="W271" s="464">
        <f t="shared" si="463"/>
        <v>0</v>
      </c>
      <c r="X271" s="459"/>
    </row>
    <row r="272" spans="2:24" ht="15.6">
      <c r="B272" s="619" t="s">
        <v>1056</v>
      </c>
      <c r="C272" s="620" t="s">
        <v>1069</v>
      </c>
      <c r="D272" s="621" t="s">
        <v>1070</v>
      </c>
      <c r="E272" s="621" t="s">
        <v>23</v>
      </c>
      <c r="F272" s="96"/>
      <c r="G272" s="622">
        <v>5.25</v>
      </c>
      <c r="H272" s="457">
        <f t="shared" si="455"/>
        <v>0</v>
      </c>
      <c r="I272" s="458"/>
      <c r="J272" s="463">
        <f t="shared" si="456"/>
        <v>0</v>
      </c>
      <c r="K272" s="464">
        <f t="shared" si="457"/>
        <v>0</v>
      </c>
      <c r="L272" s="473"/>
      <c r="M272" s="458"/>
      <c r="N272" s="463">
        <f t="shared" si="458"/>
        <v>0</v>
      </c>
      <c r="O272" s="464">
        <f t="shared" si="459"/>
        <v>0</v>
      </c>
      <c r="P272" s="473"/>
      <c r="Q272" s="458"/>
      <c r="R272" s="463">
        <f t="shared" si="460"/>
        <v>0</v>
      </c>
      <c r="S272" s="464">
        <f t="shared" si="461"/>
        <v>0</v>
      </c>
      <c r="T272" s="473"/>
      <c r="U272" s="458"/>
      <c r="V272" s="463">
        <f t="shared" si="462"/>
        <v>0</v>
      </c>
      <c r="W272" s="464">
        <f t="shared" si="463"/>
        <v>0</v>
      </c>
      <c r="X272" s="459"/>
    </row>
    <row r="273" spans="2:29" ht="15.6">
      <c r="B273" s="575"/>
      <c r="C273" s="576"/>
      <c r="D273" s="576"/>
      <c r="E273" s="576"/>
      <c r="F273" s="576"/>
      <c r="G273" s="576"/>
      <c r="H273" s="457">
        <f t="shared" ref="H273" si="473">F273*G273</f>
        <v>0</v>
      </c>
      <c r="I273" s="458"/>
      <c r="J273" s="463">
        <f t="shared" ref="J273" si="474">I273+F273</f>
        <v>0</v>
      </c>
      <c r="K273" s="464">
        <f t="shared" ref="K273" si="475">J273*G273</f>
        <v>0</v>
      </c>
      <c r="L273" s="473"/>
      <c r="M273" s="458"/>
      <c r="N273" s="463">
        <f t="shared" ref="N273" si="476">M273+J273</f>
        <v>0</v>
      </c>
      <c r="O273" s="464">
        <f t="shared" ref="O273" si="477">N273*G273</f>
        <v>0</v>
      </c>
      <c r="P273" s="473"/>
      <c r="Q273" s="458"/>
      <c r="R273" s="463">
        <f t="shared" ref="R273" si="478">Q273+N273</f>
        <v>0</v>
      </c>
      <c r="S273" s="464">
        <f t="shared" ref="S273" si="479">R273*G273</f>
        <v>0</v>
      </c>
      <c r="T273" s="473"/>
      <c r="U273" s="458"/>
      <c r="V273" s="463">
        <f t="shared" ref="V273" si="480">U273+R273</f>
        <v>0</v>
      </c>
      <c r="W273" s="464">
        <f t="shared" ref="W273" si="481">V273*G273</f>
        <v>0</v>
      </c>
      <c r="X273" s="459"/>
    </row>
    <row r="274" spans="2:29" ht="16.2" thickBot="1">
      <c r="B274" s="577"/>
      <c r="C274" s="578"/>
      <c r="D274" s="578"/>
      <c r="E274" s="578"/>
      <c r="F274" s="578"/>
      <c r="G274" s="578"/>
      <c r="H274" s="461">
        <f t="shared" si="355"/>
        <v>0</v>
      </c>
      <c r="I274" s="465"/>
      <c r="J274" s="466">
        <f t="shared" si="356"/>
        <v>0</v>
      </c>
      <c r="K274" s="467">
        <f t="shared" si="357"/>
        <v>0</v>
      </c>
      <c r="L274" s="474"/>
      <c r="M274" s="465"/>
      <c r="N274" s="466">
        <f t="shared" si="358"/>
        <v>0</v>
      </c>
      <c r="O274" s="467">
        <f t="shared" si="359"/>
        <v>0</v>
      </c>
      <c r="P274" s="474"/>
      <c r="Q274" s="465"/>
      <c r="R274" s="466">
        <f t="shared" si="360"/>
        <v>0</v>
      </c>
      <c r="S274" s="467">
        <f t="shared" si="361"/>
        <v>0</v>
      </c>
      <c r="T274" s="474"/>
      <c r="U274" s="465"/>
      <c r="V274" s="466">
        <f>U274+R274</f>
        <v>0</v>
      </c>
      <c r="W274" s="467">
        <f>V274*G274</f>
        <v>0</v>
      </c>
      <c r="X274" s="468"/>
    </row>
    <row r="275" spans="2:29" ht="21.6" thickBot="1">
      <c r="B275" s="151"/>
      <c r="C275" s="162"/>
      <c r="D275" s="1150" t="s">
        <v>59</v>
      </c>
      <c r="E275" s="1150"/>
      <c r="F275" s="1150"/>
      <c r="G275" s="1150"/>
      <c r="H275" s="462">
        <f>SUM(H9:H274)</f>
        <v>1204.8</v>
      </c>
      <c r="J275" s="195" t="s">
        <v>59</v>
      </c>
      <c r="K275" s="462">
        <f>SUM(K9:K274)</f>
        <v>1204.8</v>
      </c>
      <c r="L275" s="460"/>
      <c r="M275" s="195"/>
      <c r="N275" s="195" t="s">
        <v>59</v>
      </c>
      <c r="O275" s="462">
        <f>SUM(O9:O274)</f>
        <v>1204.8</v>
      </c>
      <c r="P275" s="460"/>
      <c r="Q275" s="195"/>
      <c r="R275" s="195" t="s">
        <v>59</v>
      </c>
      <c r="S275" s="462">
        <f>SUM(S9:S274)</f>
        <v>1204.8</v>
      </c>
      <c r="T275" s="460"/>
      <c r="U275" s="195"/>
      <c r="V275" s="195" t="s">
        <v>59</v>
      </c>
      <c r="W275" s="462">
        <f>SUM(W9:W274)</f>
        <v>1204.8</v>
      </c>
      <c r="X275" s="460"/>
    </row>
    <row r="276" spans="2:29" ht="15" thickTop="1"/>
    <row r="277" spans="2:29">
      <c r="I277" s="154" t="s">
        <v>220</v>
      </c>
      <c r="J277" s="154"/>
      <c r="K277" s="155">
        <f>K275-H275</f>
        <v>0</v>
      </c>
      <c r="L277" s="155"/>
      <c r="M277" s="154" t="s">
        <v>222</v>
      </c>
      <c r="N277" s="154"/>
      <c r="O277" s="155">
        <f>O275-K275</f>
        <v>0</v>
      </c>
      <c r="P277" s="155"/>
      <c r="Q277" s="154" t="s">
        <v>224</v>
      </c>
      <c r="R277" s="154"/>
      <c r="S277" s="155">
        <f>S275-O275</f>
        <v>0</v>
      </c>
      <c r="T277" s="155"/>
      <c r="U277" s="154" t="s">
        <v>226</v>
      </c>
      <c r="V277" s="154"/>
      <c r="W277" s="155">
        <f>W275-S275</f>
        <v>0</v>
      </c>
      <c r="X277" s="155"/>
      <c r="AA277" s="154"/>
      <c r="AB277" s="154"/>
      <c r="AC277" s="155"/>
    </row>
    <row r="278" spans="2:29">
      <c r="I278" s="154" t="s">
        <v>221</v>
      </c>
      <c r="J278" s="154"/>
      <c r="K278" s="198">
        <f>K277/H275</f>
        <v>0</v>
      </c>
      <c r="L278" s="198"/>
      <c r="M278" s="154" t="s">
        <v>223</v>
      </c>
      <c r="N278" s="154"/>
      <c r="O278" s="198">
        <f>O277/K275</f>
        <v>0</v>
      </c>
      <c r="P278" s="198"/>
      <c r="Q278" s="154" t="s">
        <v>225</v>
      </c>
      <c r="R278" s="154"/>
      <c r="S278" s="198">
        <f>S277/O275</f>
        <v>0</v>
      </c>
      <c r="T278" s="198"/>
      <c r="U278" s="154" t="s">
        <v>227</v>
      </c>
      <c r="V278" s="154"/>
      <c r="W278" s="198">
        <f>W277/S275</f>
        <v>0</v>
      </c>
      <c r="X278" s="198"/>
      <c r="AA278" s="154"/>
      <c r="AB278" s="154"/>
      <c r="AC278" s="198"/>
    </row>
    <row r="279" spans="2:29" ht="15.6">
      <c r="C279" s="139"/>
      <c r="D279" s="139"/>
    </row>
  </sheetData>
  <sheetProtection algorithmName="SHA-512" hashValue="BJsZ7H0WSoH8wBfH0d7dRWdb29h6KgpIRs7IqC4meNOn2EMOMiP6eTIIHPjfErBD1pewvSJSBk8ikKX1hSpZtA==" saltValue="vVHKpv1JBbU/Mt6jWynRng==" spinCount="100000" sheet="1" formatCells="0" formatColumns="0" formatRows="0" insertHyperlinks="0" sort="0" autoFilter="0" pivotTables="0"/>
  <autoFilter ref="B8:W275" xr:uid="{00000000-0009-0000-0000-000002000000}"/>
  <mergeCells count="19">
    <mergeCell ref="D275:G275"/>
    <mergeCell ref="B7:H7"/>
    <mergeCell ref="I7:L7"/>
    <mergeCell ref="M7:P7"/>
    <mergeCell ref="Q7:T7"/>
    <mergeCell ref="U7:X7"/>
    <mergeCell ref="B1:H1"/>
    <mergeCell ref="C2:D2"/>
    <mergeCell ref="C3:D3"/>
    <mergeCell ref="C4:D4"/>
    <mergeCell ref="C5:D5"/>
    <mergeCell ref="E2:F2"/>
    <mergeCell ref="E3:F3"/>
    <mergeCell ref="E4:F4"/>
    <mergeCell ref="E5:F5"/>
    <mergeCell ref="G2:H2"/>
    <mergeCell ref="G3:H3"/>
    <mergeCell ref="G4:H4"/>
    <mergeCell ref="G5:H5"/>
  </mergeCells>
  <phoneticPr fontId="139" type="noConversion"/>
  <pageMargins left="0.7" right="0.7" top="0.75" bottom="0.75" header="0.3" footer="0.3"/>
  <pageSetup orientation="portrait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2:M43"/>
  <sheetViews>
    <sheetView zoomScale="70" zoomScaleNormal="70" workbookViewId="0">
      <selection activeCell="H33" sqref="H33"/>
    </sheetView>
  </sheetViews>
  <sheetFormatPr defaultColWidth="9.109375" defaultRowHeight="14.4"/>
  <cols>
    <col min="1" max="1" width="3" style="30" customWidth="1"/>
    <col min="2" max="2" width="20" style="30" customWidth="1"/>
    <col min="3" max="3" width="39.6640625" style="30" customWidth="1"/>
    <col min="4" max="4" width="14.88671875" style="31" bestFit="1" customWidth="1"/>
    <col min="5" max="5" width="32.33203125" style="32" bestFit="1" customWidth="1"/>
    <col min="6" max="7" width="9.109375" style="30"/>
    <col min="8" max="8" width="30.5546875" style="30" customWidth="1"/>
    <col min="9" max="9" width="9.109375" style="30" customWidth="1"/>
    <col min="10" max="10" width="15.44140625" style="30" customWidth="1"/>
    <col min="11" max="11" width="11.33203125" style="30" bestFit="1" customWidth="1"/>
    <col min="12" max="12" width="11.88671875" style="30" customWidth="1"/>
    <col min="13" max="16384" width="9.109375" style="30"/>
  </cols>
  <sheetData>
    <row r="2" spans="2:13">
      <c r="B2" s="1152" t="s">
        <v>149</v>
      </c>
      <c r="C2" s="1152"/>
      <c r="D2" s="1152"/>
      <c r="E2" s="1152"/>
      <c r="H2" s="33" t="s">
        <v>150</v>
      </c>
      <c r="J2" s="1153" t="s">
        <v>151</v>
      </c>
      <c r="K2" s="1153"/>
      <c r="L2" s="1153"/>
      <c r="M2" s="1153"/>
    </row>
    <row r="3" spans="2:13" s="34" customFormat="1">
      <c r="B3" s="35" t="s">
        <v>152</v>
      </c>
      <c r="C3" s="35" t="s">
        <v>137</v>
      </c>
      <c r="D3" s="35" t="s">
        <v>153</v>
      </c>
      <c r="E3" s="36" t="s">
        <v>154</v>
      </c>
      <c r="H3" s="37"/>
      <c r="I3" s="30"/>
      <c r="J3" s="1154"/>
      <c r="K3" s="1154"/>
      <c r="L3" s="1154"/>
      <c r="M3" s="1154"/>
    </row>
    <row r="4" spans="2:13">
      <c r="B4" s="38" t="s">
        <v>155</v>
      </c>
      <c r="C4" s="38" t="s">
        <v>156</v>
      </c>
      <c r="D4" s="39" t="s">
        <v>26</v>
      </c>
      <c r="E4" s="40">
        <f>M13</f>
        <v>0</v>
      </c>
      <c r="H4" s="34"/>
      <c r="I4" s="34"/>
      <c r="J4" s="34"/>
      <c r="K4" s="34"/>
      <c r="L4" s="34"/>
      <c r="M4" s="34"/>
    </row>
    <row r="5" spans="2:13">
      <c r="B5" s="38" t="s">
        <v>157</v>
      </c>
      <c r="C5" s="38" t="s">
        <v>50</v>
      </c>
      <c r="D5" s="39" t="s">
        <v>26</v>
      </c>
      <c r="E5" s="40">
        <f>M10+M21</f>
        <v>0</v>
      </c>
      <c r="H5" s="1155" t="s">
        <v>158</v>
      </c>
      <c r="I5" s="1155"/>
      <c r="J5" s="1155"/>
      <c r="K5" s="1155"/>
      <c r="L5" s="1155"/>
      <c r="M5" s="1155"/>
    </row>
    <row r="6" spans="2:13">
      <c r="B6" s="38" t="s">
        <v>159</v>
      </c>
      <c r="C6" s="38" t="s">
        <v>160</v>
      </c>
      <c r="D6" s="39" t="s">
        <v>26</v>
      </c>
      <c r="E6" s="41"/>
      <c r="H6" s="42"/>
      <c r="I6" s="43" t="s">
        <v>161</v>
      </c>
      <c r="J6" s="43" t="s">
        <v>162</v>
      </c>
      <c r="K6" s="43" t="s">
        <v>163</v>
      </c>
      <c r="L6" s="43"/>
      <c r="M6" s="44"/>
    </row>
    <row r="7" spans="2:13">
      <c r="B7" s="38" t="s">
        <v>164</v>
      </c>
      <c r="C7" s="38" t="s">
        <v>112</v>
      </c>
      <c r="D7" s="39" t="s">
        <v>26</v>
      </c>
      <c r="E7" s="41"/>
      <c r="H7" s="42"/>
      <c r="I7" s="45">
        <f>'ROUTE INFO'!F39</f>
        <v>0</v>
      </c>
      <c r="J7" s="45">
        <f>'ROUTE INFO'!F40</f>
        <v>0</v>
      </c>
      <c r="K7" s="45">
        <f>'ROUTE INFO'!F41</f>
        <v>0</v>
      </c>
      <c r="L7" s="45"/>
      <c r="M7" s="44"/>
    </row>
    <row r="8" spans="2:13">
      <c r="B8" s="38" t="s">
        <v>165</v>
      </c>
      <c r="C8" s="38" t="s">
        <v>166</v>
      </c>
      <c r="D8" s="39" t="s">
        <v>26</v>
      </c>
      <c r="E8" s="41"/>
      <c r="H8" s="42" t="s">
        <v>167</v>
      </c>
      <c r="I8" s="85">
        <f>SUM(SUM(I9*1)+(I10*2)+(I7*2))</f>
        <v>0</v>
      </c>
      <c r="J8" s="85">
        <f>SUM((SUM(J9*1)+(J10*2)+(J7*2))*2)</f>
        <v>0</v>
      </c>
      <c r="K8" s="85">
        <f>SUM(SUM(K9*1)+(K10*2)+(K7*2))</f>
        <v>0</v>
      </c>
      <c r="L8" s="46"/>
      <c r="M8" s="47">
        <f>SUM(I8:K8)</f>
        <v>0</v>
      </c>
    </row>
    <row r="9" spans="2:13">
      <c r="B9" s="38" t="s">
        <v>168</v>
      </c>
      <c r="C9" s="38" t="s">
        <v>169</v>
      </c>
      <c r="D9" s="39" t="s">
        <v>26</v>
      </c>
      <c r="E9" s="41"/>
      <c r="H9" s="42" t="s">
        <v>49</v>
      </c>
      <c r="I9" s="85">
        <f>I7*8</f>
        <v>0</v>
      </c>
      <c r="J9" s="85">
        <f>(J7*8)*2</f>
        <v>0</v>
      </c>
      <c r="K9" s="85">
        <f>K7*8</f>
        <v>0</v>
      </c>
      <c r="L9" s="46"/>
      <c r="M9" s="47">
        <f>SUM(I9:K9)</f>
        <v>0</v>
      </c>
    </row>
    <row r="10" spans="2:13">
      <c r="B10" s="38" t="s">
        <v>170</v>
      </c>
      <c r="C10" s="38" t="s">
        <v>56</v>
      </c>
      <c r="D10" s="39" t="s">
        <v>26</v>
      </c>
      <c r="E10" s="41"/>
      <c r="H10" s="42" t="s">
        <v>50</v>
      </c>
      <c r="I10" s="85">
        <f>SUM(3000/200)*I7</f>
        <v>0</v>
      </c>
      <c r="J10" s="85">
        <f>SUM(3000/200)*2*J7</f>
        <v>0</v>
      </c>
      <c r="K10" s="85">
        <f>K7*2</f>
        <v>0</v>
      </c>
      <c r="L10" s="46"/>
      <c r="M10" s="47">
        <f>SUM(I10:K10)</f>
        <v>0</v>
      </c>
    </row>
    <row r="11" spans="2:13">
      <c r="B11" s="38" t="s">
        <v>171</v>
      </c>
      <c r="C11" s="38" t="s">
        <v>172</v>
      </c>
      <c r="D11" s="39" t="s">
        <v>26</v>
      </c>
      <c r="E11" s="41"/>
      <c r="H11" s="42" t="s">
        <v>173</v>
      </c>
      <c r="I11" s="85">
        <f>I7*1</f>
        <v>0</v>
      </c>
      <c r="J11" s="85">
        <f>(J7*2)</f>
        <v>0</v>
      </c>
      <c r="K11" s="85">
        <f t="shared" ref="K11" si="0">K7*1</f>
        <v>0</v>
      </c>
      <c r="L11" s="46"/>
      <c r="M11" s="47">
        <f>SUM(I11:K11)</f>
        <v>0</v>
      </c>
    </row>
    <row r="12" spans="2:13">
      <c r="B12" s="38" t="s">
        <v>174</v>
      </c>
      <c r="C12" s="38" t="s">
        <v>52</v>
      </c>
      <c r="D12" s="39" t="s">
        <v>26</v>
      </c>
      <c r="E12" s="41"/>
      <c r="H12" s="42" t="s">
        <v>47</v>
      </c>
      <c r="I12" s="85">
        <f>(I7/4)</f>
        <v>0</v>
      </c>
      <c r="J12" s="85">
        <f>(J7/4)*2</f>
        <v>0</v>
      </c>
      <c r="K12" s="85">
        <v>0</v>
      </c>
      <c r="L12" s="46"/>
      <c r="M12" s="47">
        <f>SUM(I12:K12)</f>
        <v>0</v>
      </c>
    </row>
    <row r="13" spans="2:13">
      <c r="B13" s="38" t="s">
        <v>175</v>
      </c>
      <c r="C13" s="38" t="s">
        <v>176</v>
      </c>
      <c r="D13" s="39" t="s">
        <v>26</v>
      </c>
      <c r="E13" s="41"/>
      <c r="H13" s="42" t="s">
        <v>156</v>
      </c>
      <c r="I13" s="42"/>
      <c r="J13" s="42"/>
      <c r="K13" s="42"/>
      <c r="L13" s="42"/>
      <c r="M13" s="47">
        <f>I7+(J7*2)</f>
        <v>0</v>
      </c>
    </row>
    <row r="14" spans="2:13">
      <c r="B14" s="38" t="s">
        <v>177</v>
      </c>
      <c r="C14" s="38" t="s">
        <v>178</v>
      </c>
      <c r="D14" s="39" t="s">
        <v>26</v>
      </c>
      <c r="E14" s="41"/>
      <c r="H14" s="42" t="s">
        <v>179</v>
      </c>
      <c r="I14" s="42"/>
      <c r="J14" s="42"/>
      <c r="K14" s="42"/>
      <c r="L14" s="42"/>
      <c r="M14" s="47">
        <f>K7</f>
        <v>0</v>
      </c>
    </row>
    <row r="15" spans="2:13">
      <c r="B15" s="38" t="s">
        <v>180</v>
      </c>
      <c r="C15" s="38" t="s">
        <v>46</v>
      </c>
      <c r="D15" s="39" t="s">
        <v>26</v>
      </c>
      <c r="E15" s="40">
        <f>M11</f>
        <v>0</v>
      </c>
    </row>
    <row r="16" spans="2:13">
      <c r="B16" s="38" t="s">
        <v>181</v>
      </c>
      <c r="C16" s="38" t="s">
        <v>182</v>
      </c>
      <c r="D16" s="39" t="s">
        <v>26</v>
      </c>
      <c r="E16" s="41"/>
    </row>
    <row r="17" spans="2:13">
      <c r="B17" s="38" t="s">
        <v>183</v>
      </c>
      <c r="C17" s="38" t="s">
        <v>167</v>
      </c>
      <c r="D17" s="39" t="s">
        <v>26</v>
      </c>
      <c r="E17" s="40">
        <f>M8+M20</f>
        <v>0</v>
      </c>
      <c r="H17" s="1155" t="s">
        <v>184</v>
      </c>
      <c r="I17" s="1155"/>
      <c r="J17" s="1155"/>
      <c r="K17" s="1155"/>
      <c r="L17" s="1155"/>
      <c r="M17" s="1155"/>
    </row>
    <row r="18" spans="2:13">
      <c r="B18" s="38" t="s">
        <v>185</v>
      </c>
      <c r="C18" s="38" t="s">
        <v>186</v>
      </c>
      <c r="D18" s="39" t="s">
        <v>26</v>
      </c>
      <c r="E18" s="41"/>
      <c r="H18" s="42"/>
      <c r="I18" s="43" t="s">
        <v>161</v>
      </c>
      <c r="J18" s="43" t="s">
        <v>162</v>
      </c>
      <c r="K18" s="43" t="s">
        <v>187</v>
      </c>
      <c r="L18" s="43"/>
      <c r="M18" s="44"/>
    </row>
    <row r="19" spans="2:13">
      <c r="B19" s="38" t="s">
        <v>188</v>
      </c>
      <c r="C19" s="38" t="s">
        <v>189</v>
      </c>
      <c r="D19" s="39" t="s">
        <v>26</v>
      </c>
      <c r="E19" s="41"/>
      <c r="H19" s="42"/>
      <c r="I19" s="45">
        <f>'ROUTE INFO'!F42</f>
        <v>0</v>
      </c>
      <c r="J19" s="45">
        <f>'ROUTE INFO'!F43</f>
        <v>0</v>
      </c>
      <c r="K19" s="45">
        <f>'ROUTE INFO'!F44</f>
        <v>0</v>
      </c>
      <c r="L19" s="45"/>
      <c r="M19" s="44"/>
    </row>
    <row r="20" spans="2:13">
      <c r="B20" s="38" t="s">
        <v>190</v>
      </c>
      <c r="C20" s="38" t="s">
        <v>179</v>
      </c>
      <c r="D20" s="39" t="s">
        <v>26</v>
      </c>
      <c r="E20" s="40">
        <f>M14</f>
        <v>0</v>
      </c>
      <c r="H20" s="42" t="s">
        <v>167</v>
      </c>
      <c r="I20" s="85">
        <f>SUM(SUM(I21*2)+(I19*2))</f>
        <v>0</v>
      </c>
      <c r="J20" s="85">
        <f>SUM(SUM(J21*2)+(J19*2))*2</f>
        <v>0</v>
      </c>
      <c r="K20" s="85">
        <f>SUM(SUM(K21*2)+(K19*2))</f>
        <v>0</v>
      </c>
      <c r="L20" s="46"/>
      <c r="M20" s="47">
        <f>SUM(I20:K20)</f>
        <v>0</v>
      </c>
    </row>
    <row r="21" spans="2:13">
      <c r="B21" s="38" t="s">
        <v>191</v>
      </c>
      <c r="C21" s="38" t="s">
        <v>192</v>
      </c>
      <c r="D21" s="39" t="s">
        <v>26</v>
      </c>
      <c r="E21" s="41"/>
      <c r="H21" s="42" t="s">
        <v>50</v>
      </c>
      <c r="I21" s="85">
        <f>SUM(3000/200)*I19</f>
        <v>0</v>
      </c>
      <c r="J21" s="85">
        <f>SUM(3000/200)*2*J19</f>
        <v>0</v>
      </c>
      <c r="K21" s="85">
        <f>K19*2</f>
        <v>0</v>
      </c>
      <c r="L21" s="46"/>
      <c r="M21" s="47">
        <f>SUM(I21:K21)</f>
        <v>0</v>
      </c>
    </row>
    <row r="22" spans="2:13">
      <c r="B22" s="38" t="s">
        <v>193</v>
      </c>
      <c r="C22" s="38" t="s">
        <v>49</v>
      </c>
      <c r="D22" s="39" t="s">
        <v>26</v>
      </c>
      <c r="E22" s="40">
        <f>M9</f>
        <v>0</v>
      </c>
      <c r="H22" s="42" t="s">
        <v>47</v>
      </c>
      <c r="I22" s="85">
        <f>I19/4</f>
        <v>0</v>
      </c>
      <c r="J22" s="85">
        <f>SUM(J19/4)*2</f>
        <v>0</v>
      </c>
      <c r="K22" s="85">
        <v>0</v>
      </c>
      <c r="L22" s="46"/>
      <c r="M22" s="47">
        <f>SUM(I22:K22)</f>
        <v>0</v>
      </c>
    </row>
    <row r="23" spans="2:13">
      <c r="B23" s="38" t="s">
        <v>194</v>
      </c>
      <c r="C23" s="38" t="s">
        <v>195</v>
      </c>
      <c r="D23" s="39" t="s">
        <v>26</v>
      </c>
      <c r="E23" s="41"/>
    </row>
    <row r="24" spans="2:13">
      <c r="B24" s="38" t="s">
        <v>196</v>
      </c>
      <c r="C24" s="38" t="s">
        <v>47</v>
      </c>
      <c r="D24" s="39" t="s">
        <v>26</v>
      </c>
      <c r="E24" s="40">
        <f>M12+M22</f>
        <v>0</v>
      </c>
    </row>
    <row r="25" spans="2:13">
      <c r="B25" s="48" t="s">
        <v>197</v>
      </c>
      <c r="C25" s="37"/>
      <c r="D25" s="49"/>
      <c r="E25" s="41"/>
    </row>
    <row r="26" spans="2:13">
      <c r="B26" s="48" t="s">
        <v>197</v>
      </c>
      <c r="C26" s="37"/>
      <c r="D26" s="49"/>
      <c r="E26" s="41"/>
    </row>
    <row r="27" spans="2:13">
      <c r="B27" s="48" t="s">
        <v>197</v>
      </c>
      <c r="C27" s="37"/>
      <c r="D27" s="49"/>
      <c r="E27" s="41"/>
    </row>
    <row r="30" spans="2:13">
      <c r="B30" s="1156" t="s">
        <v>363</v>
      </c>
      <c r="C30" s="1156"/>
      <c r="D30" s="1156"/>
      <c r="E30" s="1156"/>
    </row>
    <row r="31" spans="2:13">
      <c r="B31" s="1151" t="s">
        <v>158</v>
      </c>
      <c r="C31" s="1151"/>
      <c r="D31" s="1151"/>
      <c r="E31" s="1151"/>
    </row>
    <row r="32" spans="2:13">
      <c r="B32" s="227"/>
      <c r="C32" s="227" t="s">
        <v>161</v>
      </c>
      <c r="D32" s="228" t="s">
        <v>162</v>
      </c>
      <c r="E32" s="229" t="s">
        <v>163</v>
      </c>
    </row>
    <row r="33" spans="2:5" ht="28.8">
      <c r="B33" s="230" t="s">
        <v>167</v>
      </c>
      <c r="C33" s="230" t="s">
        <v>364</v>
      </c>
      <c r="D33" s="228" t="s">
        <v>365</v>
      </c>
      <c r="E33" s="229" t="s">
        <v>366</v>
      </c>
    </row>
    <row r="34" spans="2:5">
      <c r="B34" s="227" t="s">
        <v>49</v>
      </c>
      <c r="C34" s="230" t="s">
        <v>367</v>
      </c>
      <c r="D34" s="228" t="s">
        <v>365</v>
      </c>
      <c r="E34" s="229" t="s">
        <v>367</v>
      </c>
    </row>
    <row r="35" spans="2:5" ht="28.8">
      <c r="B35" s="227" t="s">
        <v>50</v>
      </c>
      <c r="C35" s="230" t="s">
        <v>368</v>
      </c>
      <c r="D35" s="228" t="s">
        <v>365</v>
      </c>
      <c r="E35" s="229" t="s">
        <v>369</v>
      </c>
    </row>
    <row r="36" spans="2:5">
      <c r="B36" s="227" t="s">
        <v>173</v>
      </c>
      <c r="C36" s="227" t="s">
        <v>370</v>
      </c>
      <c r="D36" s="228" t="s">
        <v>365</v>
      </c>
      <c r="E36" s="229" t="s">
        <v>370</v>
      </c>
    </row>
    <row r="37" spans="2:5">
      <c r="B37" s="227" t="s">
        <v>47</v>
      </c>
      <c r="C37" s="227" t="s">
        <v>371</v>
      </c>
      <c r="D37" s="228" t="s">
        <v>365</v>
      </c>
      <c r="E37" s="229" t="s">
        <v>372</v>
      </c>
    </row>
    <row r="38" spans="2:5">
      <c r="B38" s="231"/>
      <c r="C38" s="231"/>
      <c r="D38" s="232"/>
      <c r="E38" s="233"/>
    </row>
    <row r="39" spans="2:5">
      <c r="B39" s="1151" t="s">
        <v>184</v>
      </c>
      <c r="C39" s="1151"/>
      <c r="D39" s="1151"/>
      <c r="E39" s="1151"/>
    </row>
    <row r="40" spans="2:5">
      <c r="B40" s="227"/>
      <c r="C40" s="227" t="s">
        <v>161</v>
      </c>
      <c r="D40" s="228" t="s">
        <v>162</v>
      </c>
      <c r="E40" s="229" t="s">
        <v>187</v>
      </c>
    </row>
    <row r="41" spans="2:5" ht="28.8">
      <c r="B41" s="230" t="s">
        <v>167</v>
      </c>
      <c r="C41" s="230" t="s">
        <v>364</v>
      </c>
      <c r="D41" s="228" t="s">
        <v>365</v>
      </c>
      <c r="E41" s="229" t="s">
        <v>366</v>
      </c>
    </row>
    <row r="42" spans="2:5" ht="28.8">
      <c r="B42" s="227" t="s">
        <v>50</v>
      </c>
      <c r="C42" s="230" t="s">
        <v>368</v>
      </c>
      <c r="D42" s="228" t="s">
        <v>365</v>
      </c>
      <c r="E42" s="229" t="s">
        <v>369</v>
      </c>
    </row>
    <row r="43" spans="2:5">
      <c r="B43" s="227" t="s">
        <v>47</v>
      </c>
      <c r="C43" s="227" t="s">
        <v>371</v>
      </c>
      <c r="D43" s="228" t="s">
        <v>365</v>
      </c>
      <c r="E43" s="229" t="s">
        <v>372</v>
      </c>
    </row>
  </sheetData>
  <sheetProtection algorithmName="SHA-512" hashValue="HlrjUl7X51KyDOQt1aQzGy5ll+J6xuOn7GKOwJRxlJqUm/PskKaNmllE8Z7hyUADQs4FigG+sqz64r7kh1WUdQ==" saltValue="Xk+ImtQh/UxW6lBv1cruEg==" spinCount="100000" sheet="1" objects="1" scenarios="1"/>
  <protectedRanges>
    <protectedRange sqref="H3 J3 E6:E14 E16 E18:E19 E21 E23 C25:E27 I19:L19 I7:L7" name="Range1_1"/>
  </protectedRanges>
  <mergeCells count="8">
    <mergeCell ref="B39:E39"/>
    <mergeCell ref="B31:E31"/>
    <mergeCell ref="B2:E2"/>
    <mergeCell ref="J2:M2"/>
    <mergeCell ref="J3:M3"/>
    <mergeCell ref="H5:M5"/>
    <mergeCell ref="H17:M17"/>
    <mergeCell ref="B30:E3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5"/>
  <sheetViews>
    <sheetView workbookViewId="0">
      <selection activeCell="H33" sqref="H33"/>
    </sheetView>
  </sheetViews>
  <sheetFormatPr defaultRowHeight="15.6"/>
  <cols>
    <col min="1" max="3" width="9.6640625" customWidth="1"/>
    <col min="4" max="4" width="10.6640625" customWidth="1"/>
    <col min="5" max="5" width="12.77734375" customWidth="1"/>
    <col min="7" max="7" width="38.6640625" style="398" bestFit="1" customWidth="1"/>
    <col min="8" max="8" width="9" style="399" customWidth="1"/>
    <col min="9" max="9" width="13.33203125" style="398" bestFit="1" customWidth="1"/>
    <col min="10" max="10" width="34.44140625" style="398" customWidth="1"/>
  </cols>
  <sheetData>
    <row r="1" spans="1:10" ht="16.2" thickBot="1">
      <c r="A1" s="1162" t="s">
        <v>683</v>
      </c>
      <c r="B1" s="1163"/>
      <c r="C1" s="1163"/>
      <c r="D1" s="1163"/>
      <c r="E1" s="1164"/>
      <c r="G1" s="1159" t="s">
        <v>668</v>
      </c>
      <c r="H1" s="1160"/>
      <c r="I1" s="1160"/>
      <c r="J1" s="1161"/>
    </row>
    <row r="2" spans="1:10" ht="16.2" thickBot="1">
      <c r="A2" s="1162" t="s">
        <v>560</v>
      </c>
      <c r="B2" s="1164"/>
      <c r="C2" s="358"/>
      <c r="D2" s="1163" t="s">
        <v>561</v>
      </c>
      <c r="E2" s="1164"/>
      <c r="G2" s="364" t="s">
        <v>669</v>
      </c>
      <c r="H2" s="365">
        <v>-0.2</v>
      </c>
      <c r="I2" s="366" t="s">
        <v>670</v>
      </c>
      <c r="J2" s="367"/>
    </row>
    <row r="3" spans="1:10" ht="28.8">
      <c r="A3" s="338" t="s">
        <v>562</v>
      </c>
      <c r="B3" s="339" t="s">
        <v>563</v>
      </c>
      <c r="C3" s="359" t="s">
        <v>564</v>
      </c>
      <c r="D3" s="351" t="s">
        <v>565</v>
      </c>
      <c r="E3" s="345" t="s">
        <v>566</v>
      </c>
      <c r="G3" s="368" t="s">
        <v>671</v>
      </c>
      <c r="H3" s="369">
        <v>-0.5</v>
      </c>
      <c r="I3" s="370" t="s">
        <v>672</v>
      </c>
      <c r="J3" s="371"/>
    </row>
    <row r="4" spans="1:10">
      <c r="A4" s="340" t="s">
        <v>567</v>
      </c>
      <c r="B4" s="341">
        <v>-3.8</v>
      </c>
      <c r="C4" s="360">
        <v>-3.1</v>
      </c>
      <c r="D4" s="352"/>
      <c r="E4" s="346">
        <f t="shared" ref="E4:E9" si="0">(B4*D4)</f>
        <v>0</v>
      </c>
      <c r="G4" s="368" t="s">
        <v>673</v>
      </c>
      <c r="H4" s="369">
        <v>-0.1</v>
      </c>
      <c r="I4" s="370" t="s">
        <v>672</v>
      </c>
      <c r="J4" s="371"/>
    </row>
    <row r="5" spans="1:10" ht="16.2" thickBot="1">
      <c r="A5" s="342" t="s">
        <v>568</v>
      </c>
      <c r="B5" s="341">
        <v>-7.2</v>
      </c>
      <c r="C5" s="360">
        <v>-6.6</v>
      </c>
      <c r="D5" s="352">
        <v>1</v>
      </c>
      <c r="E5" s="346">
        <f t="shared" si="0"/>
        <v>-7.2</v>
      </c>
      <c r="G5" s="372" t="s">
        <v>667</v>
      </c>
      <c r="H5" s="373">
        <v>-1</v>
      </c>
      <c r="I5" s="374" t="s">
        <v>672</v>
      </c>
      <c r="J5" s="375"/>
    </row>
    <row r="6" spans="1:10" ht="16.2" thickBot="1">
      <c r="A6" s="340" t="s">
        <v>569</v>
      </c>
      <c r="B6" s="341">
        <v>-10.3</v>
      </c>
      <c r="C6" s="360">
        <v>-9.6999999999999993</v>
      </c>
      <c r="D6" s="352"/>
      <c r="E6" s="346">
        <f t="shared" si="0"/>
        <v>0</v>
      </c>
      <c r="G6" s="376"/>
      <c r="H6" s="377"/>
      <c r="I6" s="378"/>
      <c r="J6" s="379"/>
    </row>
    <row r="7" spans="1:10">
      <c r="A7" s="340" t="s">
        <v>570</v>
      </c>
      <c r="B7" s="341">
        <v>-13.5</v>
      </c>
      <c r="C7" s="360">
        <v>-12.8</v>
      </c>
      <c r="D7" s="352">
        <v>1</v>
      </c>
      <c r="E7" s="346">
        <f t="shared" si="0"/>
        <v>-13.5</v>
      </c>
      <c r="G7" s="380" t="s">
        <v>674</v>
      </c>
      <c r="H7" s="437">
        <v>9740</v>
      </c>
      <c r="I7" s="438" t="s">
        <v>700</v>
      </c>
      <c r="J7" s="381"/>
    </row>
    <row r="8" spans="1:10">
      <c r="A8" s="342" t="s">
        <v>571</v>
      </c>
      <c r="B8" s="341">
        <v>-16.7</v>
      </c>
      <c r="C8" s="360">
        <v>-16</v>
      </c>
      <c r="D8" s="352"/>
      <c r="E8" s="346">
        <f t="shared" si="0"/>
        <v>0</v>
      </c>
      <c r="G8" s="382" t="s">
        <v>675</v>
      </c>
      <c r="H8" s="400">
        <v>2</v>
      </c>
      <c r="I8" s="384" t="s">
        <v>676</v>
      </c>
      <c r="J8" s="385"/>
    </row>
    <row r="9" spans="1:10" ht="16.2" thickBot="1">
      <c r="A9" s="343" t="s">
        <v>572</v>
      </c>
      <c r="B9" s="344">
        <v>-20.399999999999999</v>
      </c>
      <c r="C9" s="361">
        <v>-19.7</v>
      </c>
      <c r="D9" s="353"/>
      <c r="E9" s="347">
        <f t="shared" si="0"/>
        <v>0</v>
      </c>
      <c r="G9" s="386" t="s">
        <v>677</v>
      </c>
      <c r="H9" s="439">
        <v>8</v>
      </c>
      <c r="I9" s="440" t="s">
        <v>678</v>
      </c>
      <c r="J9" s="387"/>
    </row>
    <row r="10" spans="1:10">
      <c r="A10" s="1167" t="s">
        <v>573</v>
      </c>
      <c r="B10" s="1168"/>
      <c r="C10" s="362">
        <v>-0.5</v>
      </c>
      <c r="D10" s="354">
        <v>2</v>
      </c>
      <c r="E10" s="348">
        <f>(C10*D10)</f>
        <v>-1</v>
      </c>
      <c r="G10" s="380" t="s">
        <v>679</v>
      </c>
      <c r="H10" s="388">
        <f>(H7/1000)*H2</f>
        <v>-1.9480000000000002</v>
      </c>
      <c r="I10" s="389" t="s">
        <v>670</v>
      </c>
      <c r="J10" s="390"/>
    </row>
    <row r="11" spans="1:10">
      <c r="A11" s="1169" t="s">
        <v>574</v>
      </c>
      <c r="B11" s="1170"/>
      <c r="C11" s="360">
        <v>-0.2</v>
      </c>
      <c r="D11" s="352">
        <v>9740</v>
      </c>
      <c r="E11" s="346">
        <f>(C11*(D11/1000))</f>
        <v>-1.9480000000000002</v>
      </c>
      <c r="G11" s="382" t="s">
        <v>680</v>
      </c>
      <c r="H11" s="383">
        <f>H8*H3</f>
        <v>-1</v>
      </c>
      <c r="I11" s="384" t="s">
        <v>672</v>
      </c>
      <c r="J11" s="379"/>
    </row>
    <row r="12" spans="1:10">
      <c r="A12" s="1169" t="s">
        <v>575</v>
      </c>
      <c r="B12" s="1170"/>
      <c r="C12" s="360">
        <v>-0.1</v>
      </c>
      <c r="D12" s="352">
        <v>8</v>
      </c>
      <c r="E12" s="346">
        <f>(C12*D12)</f>
        <v>-0.8</v>
      </c>
      <c r="G12" s="382" t="s">
        <v>681</v>
      </c>
      <c r="H12" s="383">
        <f>H9*H4</f>
        <v>-0.8</v>
      </c>
      <c r="I12" s="384" t="s">
        <v>672</v>
      </c>
      <c r="J12" s="379"/>
    </row>
    <row r="13" spans="1:10" ht="16.2" thickBot="1">
      <c r="A13" s="1171" t="s">
        <v>684</v>
      </c>
      <c r="B13" s="1172"/>
      <c r="C13" s="360">
        <v>-1</v>
      </c>
      <c r="D13" s="355"/>
      <c r="E13" s="346">
        <f>C13</f>
        <v>-1</v>
      </c>
      <c r="G13" s="386" t="str">
        <f>G5</f>
        <v>Variation Margin</v>
      </c>
      <c r="H13" s="391">
        <f>H5</f>
        <v>-1</v>
      </c>
      <c r="I13" s="392" t="s">
        <v>672</v>
      </c>
      <c r="J13" s="393"/>
    </row>
    <row r="14" spans="1:10" ht="16.2" thickBot="1">
      <c r="A14" s="1165"/>
      <c r="B14" s="1166"/>
      <c r="C14" s="363"/>
      <c r="D14" s="356" t="s">
        <v>576</v>
      </c>
      <c r="E14" s="349">
        <f>SUM(E4:E13)</f>
        <v>-25.448</v>
      </c>
      <c r="G14" s="394" t="s">
        <v>682</v>
      </c>
      <c r="H14" s="395">
        <f>SUM(H10:H13)</f>
        <v>-4.7480000000000002</v>
      </c>
      <c r="I14" s="396" t="s">
        <v>672</v>
      </c>
      <c r="J14" s="397"/>
    </row>
    <row r="15" spans="1:10" ht="16.2" thickBot="1">
      <c r="A15" s="1157" t="s">
        <v>577</v>
      </c>
      <c r="B15" s="1158"/>
      <c r="C15" s="401">
        <v>2.5</v>
      </c>
      <c r="D15" s="357" t="s">
        <v>578</v>
      </c>
      <c r="E15" s="350">
        <f>C15+E14</f>
        <v>-22.948</v>
      </c>
    </row>
  </sheetData>
  <sheetProtection algorithmName="SHA-512" hashValue="Yj1LqLcQITUpFQC4YNHhFL6sq+ZG7AA+daI05Fbud8JcQVN4zvb5y0Rgu11JrTex/gYzDO8s5ahSukp/T9tFkA==" saltValue="cmBj3upaygznwEXGbQwjFQ==" spinCount="100000" sheet="1" objects="1" scenarios="1"/>
  <mergeCells count="10">
    <mergeCell ref="A15:B15"/>
    <mergeCell ref="G1:J1"/>
    <mergeCell ref="A1:E1"/>
    <mergeCell ref="A14:B14"/>
    <mergeCell ref="A2:B2"/>
    <mergeCell ref="D2:E2"/>
    <mergeCell ref="A10:B10"/>
    <mergeCell ref="A11:B11"/>
    <mergeCell ref="A12:B12"/>
    <mergeCell ref="A13:B13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E18A7-3E49-4E49-B3F2-695DEF77F5BD}">
  <dimension ref="A1:L57"/>
  <sheetViews>
    <sheetView workbookViewId="0">
      <selection activeCell="D1" sqref="D1"/>
    </sheetView>
  </sheetViews>
  <sheetFormatPr defaultRowHeight="14.4"/>
  <cols>
    <col min="1" max="1" width="32.109375" bestFit="1" customWidth="1"/>
    <col min="2" max="2" width="18.88671875" bestFit="1" customWidth="1"/>
    <col min="3" max="3" width="9.77734375" customWidth="1"/>
    <col min="4" max="4" width="9.77734375" style="249" customWidth="1"/>
    <col min="5" max="5" width="1.77734375" customWidth="1"/>
    <col min="6" max="12" width="9.77734375" customWidth="1"/>
  </cols>
  <sheetData>
    <row r="1" spans="1:12" ht="29.4" thickBot="1">
      <c r="A1" s="846" t="s">
        <v>1181</v>
      </c>
      <c r="B1" s="844"/>
      <c r="C1" s="844"/>
      <c r="E1" s="845"/>
      <c r="F1" s="846" t="s">
        <v>1207</v>
      </c>
      <c r="G1" s="846" t="s">
        <v>1208</v>
      </c>
      <c r="H1" s="846" t="s">
        <v>1175</v>
      </c>
      <c r="I1" s="846" t="s">
        <v>1176</v>
      </c>
      <c r="J1" s="846" t="s">
        <v>1177</v>
      </c>
      <c r="K1" s="846" t="s">
        <v>1178</v>
      </c>
      <c r="L1" s="846" t="s">
        <v>1179</v>
      </c>
    </row>
    <row r="2" spans="1:12" ht="15" thickBot="1">
      <c r="A2" s="847" t="s">
        <v>1159</v>
      </c>
      <c r="B2" s="848" t="s">
        <v>1160</v>
      </c>
      <c r="C2" s="849" t="s">
        <v>1161</v>
      </c>
      <c r="D2" s="850" t="s">
        <v>1162</v>
      </c>
      <c r="E2" s="844"/>
      <c r="F2" s="889">
        <v>0</v>
      </c>
      <c r="G2" s="889">
        <v>0</v>
      </c>
      <c r="H2" s="889">
        <v>0</v>
      </c>
      <c r="I2" s="889">
        <v>0</v>
      </c>
      <c r="J2" s="889">
        <v>0</v>
      </c>
      <c r="K2" s="889">
        <v>0</v>
      </c>
      <c r="L2" s="889">
        <v>0</v>
      </c>
    </row>
    <row r="3" spans="1:12">
      <c r="A3" s="851" t="s">
        <v>1163</v>
      </c>
      <c r="B3" s="852" t="s">
        <v>1040</v>
      </c>
      <c r="C3" s="853" t="s">
        <v>1164</v>
      </c>
      <c r="D3" s="854">
        <v>1</v>
      </c>
      <c r="E3" s="844"/>
      <c r="F3" s="890">
        <f t="shared" ref="F3:H7" si="0">F$2*$D3</f>
        <v>0</v>
      </c>
      <c r="G3" s="890">
        <f t="shared" si="0"/>
        <v>0</v>
      </c>
      <c r="H3" s="890">
        <f t="shared" si="0"/>
        <v>0</v>
      </c>
      <c r="I3" s="890">
        <f>I$2*D3</f>
        <v>0</v>
      </c>
      <c r="J3" s="890">
        <f>J$2*D3</f>
        <v>0</v>
      </c>
      <c r="K3" s="890">
        <f>K$2*D3</f>
        <v>0</v>
      </c>
      <c r="L3" s="890">
        <f>L$2*D3</f>
        <v>0</v>
      </c>
    </row>
    <row r="4" spans="1:12">
      <c r="A4" s="855" t="s">
        <v>1180</v>
      </c>
      <c r="B4" s="856" t="s">
        <v>1044</v>
      </c>
      <c r="C4" s="857" t="s">
        <v>1164</v>
      </c>
      <c r="D4" s="858">
        <v>1</v>
      </c>
      <c r="E4" s="844"/>
      <c r="F4" s="891">
        <f t="shared" si="0"/>
        <v>0</v>
      </c>
      <c r="G4" s="891">
        <f t="shared" si="0"/>
        <v>0</v>
      </c>
      <c r="H4" s="891">
        <f t="shared" si="0"/>
        <v>0</v>
      </c>
      <c r="I4" s="891">
        <f>I$2*D4</f>
        <v>0</v>
      </c>
      <c r="J4" s="891">
        <f>J$2*D4</f>
        <v>0</v>
      </c>
      <c r="K4" s="891">
        <f>K$2*D4</f>
        <v>0</v>
      </c>
      <c r="L4" s="891">
        <f>L$2*D4</f>
        <v>0</v>
      </c>
    </row>
    <row r="5" spans="1:12">
      <c r="A5" s="855" t="s">
        <v>1165</v>
      </c>
      <c r="B5" s="859" t="s">
        <v>1166</v>
      </c>
      <c r="C5" s="857" t="s">
        <v>1164</v>
      </c>
      <c r="D5" s="858">
        <v>1</v>
      </c>
      <c r="E5" s="844"/>
      <c r="F5" s="891">
        <f t="shared" si="0"/>
        <v>0</v>
      </c>
      <c r="G5" s="891">
        <f t="shared" si="0"/>
        <v>0</v>
      </c>
      <c r="H5" s="891">
        <f t="shared" si="0"/>
        <v>0</v>
      </c>
      <c r="I5" s="891">
        <f>I$2*D5</f>
        <v>0</v>
      </c>
      <c r="J5" s="891">
        <f>J$2*D5</f>
        <v>0</v>
      </c>
      <c r="K5" s="891">
        <f>K$2*D5</f>
        <v>0</v>
      </c>
      <c r="L5" s="891">
        <f>L$2*D5</f>
        <v>0</v>
      </c>
    </row>
    <row r="6" spans="1:12">
      <c r="A6" s="855" t="s">
        <v>1170</v>
      </c>
      <c r="B6" s="856" t="s">
        <v>1037</v>
      </c>
      <c r="C6" s="857" t="s">
        <v>23</v>
      </c>
      <c r="D6" s="858">
        <v>5</v>
      </c>
      <c r="F6" s="891">
        <f t="shared" si="0"/>
        <v>0</v>
      </c>
      <c r="G6" s="891">
        <f t="shared" si="0"/>
        <v>0</v>
      </c>
      <c r="H6" s="891">
        <f t="shared" si="0"/>
        <v>0</v>
      </c>
      <c r="I6" s="891">
        <f>I$2*D6</f>
        <v>0</v>
      </c>
      <c r="J6" s="891">
        <f>J$2*D6</f>
        <v>0</v>
      </c>
      <c r="K6" s="891">
        <f>K$2*D6</f>
        <v>0</v>
      </c>
      <c r="L6" s="891">
        <f>L$2*D6</f>
        <v>0</v>
      </c>
    </row>
    <row r="7" spans="1:12" ht="15" thickBot="1">
      <c r="A7" s="860" t="s">
        <v>1171</v>
      </c>
      <c r="B7" s="861" t="s">
        <v>1038</v>
      </c>
      <c r="C7" s="862" t="s">
        <v>1164</v>
      </c>
      <c r="D7" s="863">
        <v>8</v>
      </c>
      <c r="F7" s="892">
        <f t="shared" si="0"/>
        <v>0</v>
      </c>
      <c r="G7" s="892">
        <f t="shared" si="0"/>
        <v>0</v>
      </c>
      <c r="H7" s="892">
        <f t="shared" si="0"/>
        <v>0</v>
      </c>
      <c r="I7" s="892">
        <f>I$2*D7</f>
        <v>0</v>
      </c>
      <c r="J7" s="892">
        <f>J$2*D7</f>
        <v>0</v>
      </c>
      <c r="K7" s="892">
        <f>K$2*D7</f>
        <v>0</v>
      </c>
      <c r="L7" s="892">
        <f>L$2*D7</f>
        <v>0</v>
      </c>
    </row>
    <row r="8" spans="1:12" ht="15" thickBot="1">
      <c r="A8" s="864"/>
      <c r="B8" s="865"/>
      <c r="C8" s="866"/>
      <c r="D8" s="866"/>
      <c r="E8" s="844"/>
      <c r="F8" s="327"/>
      <c r="G8" s="327"/>
      <c r="H8" s="327"/>
      <c r="I8" s="327"/>
      <c r="J8" s="327"/>
      <c r="K8" s="327"/>
      <c r="L8" s="327"/>
    </row>
    <row r="9" spans="1:12" ht="29.4" thickBot="1">
      <c r="A9" s="843" t="s">
        <v>1197</v>
      </c>
      <c r="B9" s="844"/>
      <c r="C9" s="844"/>
      <c r="E9" s="845"/>
      <c r="F9" s="846" t="s">
        <v>1207</v>
      </c>
      <c r="G9" s="846" t="s">
        <v>1208</v>
      </c>
      <c r="H9" s="846" t="s">
        <v>1175</v>
      </c>
      <c r="I9" s="846" t="s">
        <v>1176</v>
      </c>
      <c r="J9" s="846" t="s">
        <v>1177</v>
      </c>
      <c r="K9" s="846" t="s">
        <v>1178</v>
      </c>
      <c r="L9" s="846" t="s">
        <v>1179</v>
      </c>
    </row>
    <row r="10" spans="1:12" ht="15" thickBot="1">
      <c r="A10" s="867" t="s">
        <v>1159</v>
      </c>
      <c r="B10" s="868" t="s">
        <v>1160</v>
      </c>
      <c r="C10" s="869" t="s">
        <v>1161</v>
      </c>
      <c r="D10" s="870" t="s">
        <v>1162</v>
      </c>
      <c r="E10" s="844"/>
      <c r="F10" s="893">
        <v>0</v>
      </c>
      <c r="G10" s="893">
        <v>0</v>
      </c>
      <c r="H10" s="893">
        <v>0</v>
      </c>
      <c r="I10" s="893">
        <v>0</v>
      </c>
      <c r="J10" s="893">
        <v>0</v>
      </c>
      <c r="K10" s="893">
        <v>0</v>
      </c>
      <c r="L10" s="893">
        <v>0</v>
      </c>
    </row>
    <row r="11" spans="1:12">
      <c r="A11" s="871" t="s">
        <v>1163</v>
      </c>
      <c r="B11" s="872" t="s">
        <v>1040</v>
      </c>
      <c r="C11" s="873" t="s">
        <v>1164</v>
      </c>
      <c r="D11" s="874">
        <v>1</v>
      </c>
      <c r="E11" s="844"/>
      <c r="F11" s="894">
        <f t="shared" ref="F11:H13" si="1">F$10*$D11</f>
        <v>0</v>
      </c>
      <c r="G11" s="894">
        <f t="shared" si="1"/>
        <v>0</v>
      </c>
      <c r="H11" s="894">
        <f t="shared" si="1"/>
        <v>0</v>
      </c>
      <c r="I11" s="894">
        <f>I$10*D11</f>
        <v>0</v>
      </c>
      <c r="J11" s="894">
        <f>J$10*D11</f>
        <v>0</v>
      </c>
      <c r="K11" s="894">
        <f>K$10*D11</f>
        <v>0</v>
      </c>
      <c r="L11" s="894">
        <f>L$10*D11</f>
        <v>0</v>
      </c>
    </row>
    <row r="12" spans="1:12">
      <c r="A12" s="855" t="s">
        <v>1180</v>
      </c>
      <c r="B12" s="856" t="s">
        <v>1044</v>
      </c>
      <c r="C12" s="875" t="s">
        <v>1164</v>
      </c>
      <c r="D12" s="858">
        <v>1</v>
      </c>
      <c r="E12" s="844"/>
      <c r="F12" s="891">
        <f t="shared" si="1"/>
        <v>0</v>
      </c>
      <c r="G12" s="891">
        <f t="shared" si="1"/>
        <v>0</v>
      </c>
      <c r="H12" s="891">
        <f t="shared" si="1"/>
        <v>0</v>
      </c>
      <c r="I12" s="891">
        <f>I$10*D12</f>
        <v>0</v>
      </c>
      <c r="J12" s="891">
        <f>J$10*D12</f>
        <v>0</v>
      </c>
      <c r="K12" s="891">
        <f>K$10*D12</f>
        <v>0</v>
      </c>
      <c r="L12" s="891">
        <f>L$10*D12</f>
        <v>0</v>
      </c>
    </row>
    <row r="13" spans="1:12" ht="15" thickBot="1">
      <c r="A13" s="860" t="s">
        <v>1167</v>
      </c>
      <c r="B13" s="876" t="s">
        <v>1166</v>
      </c>
      <c r="C13" s="877" t="s">
        <v>1164</v>
      </c>
      <c r="D13" s="863">
        <v>1</v>
      </c>
      <c r="E13" s="844"/>
      <c r="F13" s="892">
        <f t="shared" si="1"/>
        <v>0</v>
      </c>
      <c r="G13" s="892">
        <f t="shared" si="1"/>
        <v>0</v>
      </c>
      <c r="H13" s="892">
        <f t="shared" si="1"/>
        <v>0</v>
      </c>
      <c r="I13" s="892">
        <f>I$10*D13</f>
        <v>0</v>
      </c>
      <c r="J13" s="892">
        <f>J$10*D13</f>
        <v>0</v>
      </c>
      <c r="K13" s="892">
        <f>K$10*D13</f>
        <v>0</v>
      </c>
      <c r="L13" s="892">
        <f>L$10*D13</f>
        <v>0</v>
      </c>
    </row>
    <row r="14" spans="1:12" ht="15" thickBot="1">
      <c r="A14" s="844"/>
      <c r="B14" s="844"/>
      <c r="C14" s="844"/>
      <c r="D14" s="878"/>
      <c r="E14" s="844"/>
      <c r="F14" s="327"/>
      <c r="G14" s="327"/>
      <c r="H14" s="327"/>
      <c r="I14" s="327"/>
      <c r="J14" s="327"/>
      <c r="K14" s="327"/>
      <c r="L14" s="327"/>
    </row>
    <row r="15" spans="1:12" ht="29.4" thickBot="1">
      <c r="A15" s="843" t="s">
        <v>1157</v>
      </c>
      <c r="B15" s="844"/>
      <c r="C15" s="844"/>
      <c r="E15" s="845"/>
      <c r="F15" s="846" t="s">
        <v>1207</v>
      </c>
      <c r="G15" s="846" t="s">
        <v>1208</v>
      </c>
      <c r="H15" s="846" t="s">
        <v>1175</v>
      </c>
      <c r="I15" s="846" t="s">
        <v>1176</v>
      </c>
      <c r="J15" s="846" t="s">
        <v>1177</v>
      </c>
      <c r="K15" s="846" t="s">
        <v>1178</v>
      </c>
      <c r="L15" s="846" t="s">
        <v>1179</v>
      </c>
    </row>
    <row r="16" spans="1:12" ht="15" thickBot="1">
      <c r="A16" s="867" t="s">
        <v>1159</v>
      </c>
      <c r="B16" s="868" t="s">
        <v>1160</v>
      </c>
      <c r="C16" s="869" t="s">
        <v>1161</v>
      </c>
      <c r="D16" s="870" t="s">
        <v>1162</v>
      </c>
      <c r="E16" s="844"/>
      <c r="F16" s="893">
        <v>0</v>
      </c>
      <c r="G16" s="893">
        <v>0</v>
      </c>
      <c r="H16" s="893">
        <v>0</v>
      </c>
      <c r="I16" s="893">
        <v>0</v>
      </c>
      <c r="J16" s="893">
        <v>0</v>
      </c>
      <c r="K16" s="893">
        <v>0</v>
      </c>
      <c r="L16" s="893">
        <v>0</v>
      </c>
    </row>
    <row r="17" spans="1:12">
      <c r="A17" s="855" t="s">
        <v>1168</v>
      </c>
      <c r="B17" s="856" t="s">
        <v>1041</v>
      </c>
      <c r="C17" s="875" t="s">
        <v>1164</v>
      </c>
      <c r="D17" s="858">
        <v>2</v>
      </c>
      <c r="E17" s="844"/>
      <c r="F17" s="894">
        <f t="shared" ref="F17:H22" si="2">F$16*$D17</f>
        <v>0</v>
      </c>
      <c r="G17" s="894">
        <f t="shared" si="2"/>
        <v>0</v>
      </c>
      <c r="H17" s="894">
        <f t="shared" si="2"/>
        <v>0</v>
      </c>
      <c r="I17" s="894">
        <f t="shared" ref="I17:I22" si="3">I$16*D17</f>
        <v>0</v>
      </c>
      <c r="J17" s="894">
        <f t="shared" ref="J17:J22" si="4">J$16*D17</f>
        <v>0</v>
      </c>
      <c r="K17" s="894">
        <f t="shared" ref="K17:K22" si="5">K$16*D17</f>
        <v>0</v>
      </c>
      <c r="L17" s="894">
        <f t="shared" ref="L17:L22" si="6">L$16*D17</f>
        <v>0</v>
      </c>
    </row>
    <row r="18" spans="1:12">
      <c r="A18" s="855" t="s">
        <v>1180</v>
      </c>
      <c r="B18" s="856" t="s">
        <v>1044</v>
      </c>
      <c r="C18" s="875" t="s">
        <v>1164</v>
      </c>
      <c r="D18" s="858">
        <v>1</v>
      </c>
      <c r="E18" s="844"/>
      <c r="F18" s="891">
        <f t="shared" si="2"/>
        <v>0</v>
      </c>
      <c r="G18" s="891">
        <f t="shared" si="2"/>
        <v>0</v>
      </c>
      <c r="H18" s="891">
        <f t="shared" si="2"/>
        <v>0</v>
      </c>
      <c r="I18" s="891">
        <f t="shared" si="3"/>
        <v>0</v>
      </c>
      <c r="J18" s="891">
        <f t="shared" si="4"/>
        <v>0</v>
      </c>
      <c r="K18" s="891">
        <f t="shared" si="5"/>
        <v>0</v>
      </c>
      <c r="L18" s="891">
        <f t="shared" si="6"/>
        <v>0</v>
      </c>
    </row>
    <row r="19" spans="1:12">
      <c r="A19" s="855" t="s">
        <v>1169</v>
      </c>
      <c r="B19" s="859" t="s">
        <v>1166</v>
      </c>
      <c r="C19" s="875" t="s">
        <v>1164</v>
      </c>
      <c r="D19" s="858">
        <v>2</v>
      </c>
      <c r="E19" s="844"/>
      <c r="F19" s="891">
        <f t="shared" si="2"/>
        <v>0</v>
      </c>
      <c r="G19" s="891">
        <f t="shared" si="2"/>
        <v>0</v>
      </c>
      <c r="H19" s="891">
        <f t="shared" si="2"/>
        <v>0</v>
      </c>
      <c r="I19" s="891">
        <f t="shared" si="3"/>
        <v>0</v>
      </c>
      <c r="J19" s="891">
        <f t="shared" si="4"/>
        <v>0</v>
      </c>
      <c r="K19" s="891">
        <f t="shared" si="5"/>
        <v>0</v>
      </c>
      <c r="L19" s="891">
        <f t="shared" si="6"/>
        <v>0</v>
      </c>
    </row>
    <row r="20" spans="1:12">
      <c r="A20" s="855" t="s">
        <v>835</v>
      </c>
      <c r="B20" s="856" t="s">
        <v>1022</v>
      </c>
      <c r="C20" s="875" t="s">
        <v>1164</v>
      </c>
      <c r="D20" s="858">
        <v>1</v>
      </c>
      <c r="F20" s="891">
        <f t="shared" si="2"/>
        <v>0</v>
      </c>
      <c r="G20" s="891">
        <f t="shared" si="2"/>
        <v>0</v>
      </c>
      <c r="H20" s="891">
        <f t="shared" si="2"/>
        <v>0</v>
      </c>
      <c r="I20" s="891">
        <f t="shared" si="3"/>
        <v>0</v>
      </c>
      <c r="J20" s="891">
        <f t="shared" si="4"/>
        <v>0</v>
      </c>
      <c r="K20" s="891">
        <f t="shared" si="5"/>
        <v>0</v>
      </c>
      <c r="L20" s="891">
        <f t="shared" si="6"/>
        <v>0</v>
      </c>
    </row>
    <row r="21" spans="1:12">
      <c r="A21" s="855" t="s">
        <v>1170</v>
      </c>
      <c r="B21" s="856" t="s">
        <v>1037</v>
      </c>
      <c r="C21" s="875" t="s">
        <v>23</v>
      </c>
      <c r="D21" s="858">
        <v>1</v>
      </c>
      <c r="F21" s="891">
        <f t="shared" si="2"/>
        <v>0</v>
      </c>
      <c r="G21" s="891">
        <f t="shared" si="2"/>
        <v>0</v>
      </c>
      <c r="H21" s="891">
        <f t="shared" si="2"/>
        <v>0</v>
      </c>
      <c r="I21" s="891">
        <f t="shared" si="3"/>
        <v>0</v>
      </c>
      <c r="J21" s="891">
        <f t="shared" si="4"/>
        <v>0</v>
      </c>
      <c r="K21" s="891">
        <f t="shared" si="5"/>
        <v>0</v>
      </c>
      <c r="L21" s="891">
        <f t="shared" si="6"/>
        <v>0</v>
      </c>
    </row>
    <row r="22" spans="1:12" ht="15" thickBot="1">
      <c r="A22" s="860" t="s">
        <v>1171</v>
      </c>
      <c r="B22" s="861" t="s">
        <v>1038</v>
      </c>
      <c r="C22" s="877" t="s">
        <v>1164</v>
      </c>
      <c r="D22" s="863">
        <v>1</v>
      </c>
      <c r="F22" s="892">
        <f t="shared" si="2"/>
        <v>0</v>
      </c>
      <c r="G22" s="892">
        <f t="shared" si="2"/>
        <v>0</v>
      </c>
      <c r="H22" s="892">
        <f t="shared" si="2"/>
        <v>0</v>
      </c>
      <c r="I22" s="892">
        <f t="shared" si="3"/>
        <v>0</v>
      </c>
      <c r="J22" s="892">
        <f t="shared" si="4"/>
        <v>0</v>
      </c>
      <c r="K22" s="892">
        <f t="shared" si="5"/>
        <v>0</v>
      </c>
      <c r="L22" s="892">
        <f t="shared" si="6"/>
        <v>0</v>
      </c>
    </row>
    <row r="23" spans="1:12" ht="15" thickBot="1">
      <c r="A23" s="844"/>
      <c r="B23" s="844"/>
      <c r="C23" s="844"/>
      <c r="D23" s="866"/>
      <c r="E23" s="844"/>
      <c r="F23" s="327"/>
      <c r="G23" s="327"/>
      <c r="H23" s="327"/>
      <c r="I23" s="327"/>
      <c r="J23" s="327"/>
      <c r="K23" s="327"/>
      <c r="L23" s="327"/>
    </row>
    <row r="24" spans="1:12" ht="29.4" thickBot="1">
      <c r="A24" s="843" t="s">
        <v>1198</v>
      </c>
      <c r="B24" s="844"/>
      <c r="C24" s="844"/>
      <c r="E24" s="845"/>
      <c r="F24" s="846" t="s">
        <v>1207</v>
      </c>
      <c r="G24" s="846" t="s">
        <v>1208</v>
      </c>
      <c r="H24" s="846" t="s">
        <v>1175</v>
      </c>
      <c r="I24" s="846" t="s">
        <v>1176</v>
      </c>
      <c r="J24" s="846" t="s">
        <v>1177</v>
      </c>
      <c r="K24" s="846" t="s">
        <v>1178</v>
      </c>
      <c r="L24" s="846" t="s">
        <v>1179</v>
      </c>
    </row>
    <row r="25" spans="1:12" ht="15" thickBot="1">
      <c r="A25" s="867" t="s">
        <v>1159</v>
      </c>
      <c r="B25" s="868" t="s">
        <v>1160</v>
      </c>
      <c r="C25" s="869" t="s">
        <v>1161</v>
      </c>
      <c r="D25" s="870" t="s">
        <v>1162</v>
      </c>
      <c r="E25" s="844"/>
      <c r="F25" s="893">
        <v>0</v>
      </c>
      <c r="G25" s="893">
        <v>0</v>
      </c>
      <c r="H25" s="893">
        <v>0</v>
      </c>
      <c r="I25" s="893">
        <v>0</v>
      </c>
      <c r="J25" s="893">
        <v>0</v>
      </c>
      <c r="K25" s="893">
        <v>0</v>
      </c>
      <c r="L25" s="893">
        <v>0</v>
      </c>
    </row>
    <row r="26" spans="1:12">
      <c r="A26" s="855" t="s">
        <v>1168</v>
      </c>
      <c r="B26" s="856" t="s">
        <v>1041</v>
      </c>
      <c r="C26" s="875" t="s">
        <v>1164</v>
      </c>
      <c r="D26" s="858">
        <v>2</v>
      </c>
      <c r="E26" s="844"/>
      <c r="F26" s="894">
        <f t="shared" ref="F26:H28" si="7">F$25*$D26</f>
        <v>0</v>
      </c>
      <c r="G26" s="894">
        <f t="shared" si="7"/>
        <v>0</v>
      </c>
      <c r="H26" s="894">
        <f t="shared" si="7"/>
        <v>0</v>
      </c>
      <c r="I26" s="894">
        <f>I$25*D26</f>
        <v>0</v>
      </c>
      <c r="J26" s="894">
        <f>J$25*D26</f>
        <v>0</v>
      </c>
      <c r="K26" s="894">
        <f>K$25*D26</f>
        <v>0</v>
      </c>
      <c r="L26" s="894">
        <f>L$25*D26</f>
        <v>0</v>
      </c>
    </row>
    <row r="27" spans="1:12">
      <c r="A27" s="855" t="s">
        <v>1180</v>
      </c>
      <c r="B27" s="856" t="s">
        <v>1044</v>
      </c>
      <c r="C27" s="875" t="s">
        <v>1164</v>
      </c>
      <c r="D27" s="858">
        <v>1</v>
      </c>
      <c r="E27" s="844"/>
      <c r="F27" s="891">
        <f t="shared" si="7"/>
        <v>0</v>
      </c>
      <c r="G27" s="891">
        <f t="shared" si="7"/>
        <v>0</v>
      </c>
      <c r="H27" s="891">
        <f t="shared" si="7"/>
        <v>0</v>
      </c>
      <c r="I27" s="891">
        <f>I$25*D27</f>
        <v>0</v>
      </c>
      <c r="J27" s="891">
        <f>J$25*D27</f>
        <v>0</v>
      </c>
      <c r="K27" s="891">
        <f>K$25*D27</f>
        <v>0</v>
      </c>
      <c r="L27" s="891">
        <f>L$25*D27</f>
        <v>0</v>
      </c>
    </row>
    <row r="28" spans="1:12" ht="15" thickBot="1">
      <c r="A28" s="860" t="s">
        <v>1169</v>
      </c>
      <c r="B28" s="876" t="s">
        <v>1166</v>
      </c>
      <c r="C28" s="877" t="s">
        <v>1164</v>
      </c>
      <c r="D28" s="863">
        <v>2</v>
      </c>
      <c r="E28" s="844"/>
      <c r="F28" s="892">
        <f t="shared" si="7"/>
        <v>0</v>
      </c>
      <c r="G28" s="892">
        <f t="shared" si="7"/>
        <v>0</v>
      </c>
      <c r="H28" s="892">
        <f t="shared" si="7"/>
        <v>0</v>
      </c>
      <c r="I28" s="892">
        <f>I$25*D28</f>
        <v>0</v>
      </c>
      <c r="J28" s="892">
        <f>J$25*D28</f>
        <v>0</v>
      </c>
      <c r="K28" s="892">
        <f>K$25*D28</f>
        <v>0</v>
      </c>
      <c r="L28" s="892">
        <f>L$25*D28</f>
        <v>0</v>
      </c>
    </row>
    <row r="29" spans="1:12" ht="15" thickBot="1">
      <c r="D29" s="879"/>
      <c r="F29" s="327"/>
      <c r="G29" s="327"/>
      <c r="H29" s="327"/>
      <c r="I29" s="327"/>
      <c r="J29" s="327"/>
      <c r="K29" s="327"/>
      <c r="L29" s="327"/>
    </row>
    <row r="30" spans="1:12" ht="29.4" thickBot="1">
      <c r="A30" s="895" t="s">
        <v>1172</v>
      </c>
      <c r="B30" s="844"/>
      <c r="C30" s="844"/>
      <c r="F30" s="846" t="s">
        <v>1207</v>
      </c>
      <c r="G30" s="846" t="s">
        <v>1208</v>
      </c>
      <c r="H30" s="846" t="s">
        <v>1175</v>
      </c>
      <c r="I30" s="846" t="s">
        <v>1176</v>
      </c>
      <c r="J30" s="846" t="s">
        <v>1177</v>
      </c>
      <c r="K30" s="846" t="s">
        <v>1178</v>
      </c>
      <c r="L30" s="846" t="s">
        <v>1179</v>
      </c>
    </row>
    <row r="31" spans="1:12" ht="15" thickBot="1">
      <c r="A31" s="867" t="s">
        <v>1159</v>
      </c>
      <c r="B31" s="868" t="s">
        <v>1160</v>
      </c>
      <c r="C31" s="869" t="s">
        <v>1161</v>
      </c>
      <c r="D31" s="870" t="s">
        <v>1162</v>
      </c>
      <c r="F31" s="893">
        <v>0</v>
      </c>
      <c r="G31" s="893">
        <v>0</v>
      </c>
      <c r="H31" s="893">
        <v>0</v>
      </c>
      <c r="I31" s="893">
        <v>0</v>
      </c>
      <c r="J31" s="893">
        <v>0</v>
      </c>
      <c r="K31" s="893">
        <v>0</v>
      </c>
      <c r="L31" s="893">
        <v>0</v>
      </c>
    </row>
    <row r="32" spans="1:12">
      <c r="A32" s="855" t="s">
        <v>1015</v>
      </c>
      <c r="B32" s="856" t="s">
        <v>1016</v>
      </c>
      <c r="C32" s="875" t="s">
        <v>23</v>
      </c>
      <c r="D32" s="858">
        <v>10</v>
      </c>
      <c r="F32" s="894">
        <f t="shared" ref="F32:H36" si="8">F$31*$D32</f>
        <v>0</v>
      </c>
      <c r="G32" s="894">
        <f t="shared" si="8"/>
        <v>0</v>
      </c>
      <c r="H32" s="894">
        <f t="shared" si="8"/>
        <v>0</v>
      </c>
      <c r="I32" s="894">
        <f>I$31*D32</f>
        <v>0</v>
      </c>
      <c r="J32" s="894">
        <f>J$31*D32</f>
        <v>0</v>
      </c>
      <c r="K32" s="894">
        <f>K$31*D32</f>
        <v>0</v>
      </c>
      <c r="L32" s="894">
        <f>L$31*D32</f>
        <v>0</v>
      </c>
    </row>
    <row r="33" spans="1:12">
      <c r="A33" s="855" t="s">
        <v>863</v>
      </c>
      <c r="B33" s="856" t="s">
        <v>861</v>
      </c>
      <c r="C33" s="875" t="s">
        <v>1164</v>
      </c>
      <c r="D33" s="858">
        <v>1</v>
      </c>
      <c r="F33" s="894">
        <f t="shared" si="8"/>
        <v>0</v>
      </c>
      <c r="G33" s="894">
        <f t="shared" si="8"/>
        <v>0</v>
      </c>
      <c r="H33" s="894">
        <f t="shared" si="8"/>
        <v>0</v>
      </c>
      <c r="I33" s="894">
        <f>I$31*D33</f>
        <v>0</v>
      </c>
      <c r="J33" s="894">
        <f>J$31*D33</f>
        <v>0</v>
      </c>
      <c r="K33" s="894">
        <f>K$31*D33</f>
        <v>0</v>
      </c>
      <c r="L33" s="894">
        <f>L$31*D33</f>
        <v>0</v>
      </c>
    </row>
    <row r="34" spans="1:12">
      <c r="A34" s="855" t="s">
        <v>1020</v>
      </c>
      <c r="B34" s="856" t="s">
        <v>1019</v>
      </c>
      <c r="C34" s="875" t="s">
        <v>1164</v>
      </c>
      <c r="D34" s="858">
        <v>2</v>
      </c>
      <c r="F34" s="891">
        <f t="shared" si="8"/>
        <v>0</v>
      </c>
      <c r="G34" s="891">
        <f t="shared" si="8"/>
        <v>0</v>
      </c>
      <c r="H34" s="891">
        <f t="shared" si="8"/>
        <v>0</v>
      </c>
      <c r="I34" s="891">
        <f>I$31*D34</f>
        <v>0</v>
      </c>
      <c r="J34" s="891">
        <f>J$31*D34</f>
        <v>0</v>
      </c>
      <c r="K34" s="891">
        <f>K$31*D34</f>
        <v>0</v>
      </c>
      <c r="L34" s="891">
        <f>L$31*D34</f>
        <v>0</v>
      </c>
    </row>
    <row r="35" spans="1:12">
      <c r="A35" s="855" t="s">
        <v>1017</v>
      </c>
      <c r="B35" s="856" t="s">
        <v>1018</v>
      </c>
      <c r="C35" s="875" t="s">
        <v>1164</v>
      </c>
      <c r="D35" s="858">
        <v>1</v>
      </c>
      <c r="F35" s="891">
        <f t="shared" si="8"/>
        <v>0</v>
      </c>
      <c r="G35" s="891">
        <f t="shared" si="8"/>
        <v>0</v>
      </c>
      <c r="H35" s="891">
        <f t="shared" si="8"/>
        <v>0</v>
      </c>
      <c r="I35" s="891">
        <f>I$31*D35</f>
        <v>0</v>
      </c>
      <c r="J35" s="891">
        <f>J$31*D35</f>
        <v>0</v>
      </c>
      <c r="K35" s="891">
        <f>K$31*D35</f>
        <v>0</v>
      </c>
      <c r="L35" s="891">
        <f>L$31*D35</f>
        <v>0</v>
      </c>
    </row>
    <row r="36" spans="1:12" ht="15" thickBot="1">
      <c r="A36" s="860" t="s">
        <v>1173</v>
      </c>
      <c r="B36" s="861" t="s">
        <v>1014</v>
      </c>
      <c r="C36" s="877" t="s">
        <v>1164</v>
      </c>
      <c r="D36" s="863">
        <v>1</v>
      </c>
      <c r="F36" s="892">
        <f t="shared" si="8"/>
        <v>0</v>
      </c>
      <c r="G36" s="892">
        <f t="shared" si="8"/>
        <v>0</v>
      </c>
      <c r="H36" s="892">
        <f t="shared" si="8"/>
        <v>0</v>
      </c>
      <c r="I36" s="892">
        <f>I$31*D36</f>
        <v>0</v>
      </c>
      <c r="J36" s="892">
        <f>J$31*D36</f>
        <v>0</v>
      </c>
      <c r="K36" s="892">
        <f>K$31*D36</f>
        <v>0</v>
      </c>
      <c r="L36" s="892">
        <f>L$31*D36</f>
        <v>0</v>
      </c>
    </row>
    <row r="38" spans="1:12" ht="15" thickBot="1"/>
    <row r="39" spans="1:12" ht="15" thickBot="1">
      <c r="A39" s="1179" t="s">
        <v>1159</v>
      </c>
      <c r="B39" s="1180"/>
      <c r="C39" s="1181"/>
      <c r="D39" s="880" t="s">
        <v>1174</v>
      </c>
    </row>
    <row r="40" spans="1:12">
      <c r="A40" s="1182" t="s">
        <v>1173</v>
      </c>
      <c r="B40" s="1183"/>
      <c r="C40" s="1184"/>
      <c r="D40" s="881">
        <f>F36+G36+H36+I36+J36+K36+L36</f>
        <v>0</v>
      </c>
    </row>
    <row r="41" spans="1:12">
      <c r="A41" s="1173" t="s">
        <v>863</v>
      </c>
      <c r="B41" s="1174"/>
      <c r="C41" s="1175"/>
      <c r="D41" s="882">
        <f>F33+G33+H33+I33+J33+K33+L33</f>
        <v>0</v>
      </c>
    </row>
    <row r="42" spans="1:12">
      <c r="A42" s="1173" t="s">
        <v>1015</v>
      </c>
      <c r="B42" s="1174"/>
      <c r="C42" s="1175"/>
      <c r="D42" s="882">
        <f>F32+G32+H32+I32+J32+K32+L32</f>
        <v>0</v>
      </c>
    </row>
    <row r="43" spans="1:12">
      <c r="A43" s="1173" t="s">
        <v>1020</v>
      </c>
      <c r="B43" s="1174"/>
      <c r="C43" s="1175"/>
      <c r="D43" s="882">
        <f>F34+G34+H34+I34+J34+K34+L34</f>
        <v>0</v>
      </c>
    </row>
    <row r="44" spans="1:12">
      <c r="A44" s="1173" t="s">
        <v>1017</v>
      </c>
      <c r="B44" s="1174"/>
      <c r="C44" s="1175"/>
      <c r="D44" s="882">
        <f>F35+G35+H35+I35+J35+K35+L35</f>
        <v>0</v>
      </c>
    </row>
    <row r="45" spans="1:12">
      <c r="A45" s="1173" t="s">
        <v>1163</v>
      </c>
      <c r="B45" s="1174"/>
      <c r="C45" s="1175"/>
      <c r="D45" s="882">
        <f>F3+G3+H3+I3+J3+K3+L3+F11+G11+H11+I11+J11+K11+L11</f>
        <v>0</v>
      </c>
    </row>
    <row r="46" spans="1:12">
      <c r="A46" s="1173" t="s">
        <v>1168</v>
      </c>
      <c r="B46" s="1174"/>
      <c r="C46" s="1175"/>
      <c r="D46" s="882">
        <f>F17+G17+H17+I17+J17+K17+L17+F26+G26+H26+I26+J26+K26+L26</f>
        <v>0</v>
      </c>
    </row>
    <row r="47" spans="1:12">
      <c r="A47" s="1173" t="s">
        <v>1045</v>
      </c>
      <c r="B47" s="1174"/>
      <c r="C47" s="1175"/>
      <c r="D47" s="882">
        <f>H4+I4+J4+K4+L4+H12+I12+J12+K12+L12+H18+I18+J18+K18+L18+H27+I27+J27+K27+L27</f>
        <v>0</v>
      </c>
    </row>
    <row r="48" spans="1:12">
      <c r="A48" s="1173" t="s">
        <v>1024</v>
      </c>
      <c r="B48" s="1174"/>
      <c r="C48" s="1175"/>
      <c r="D48" s="882">
        <f>H5+I5+H19+I19+H28+I28</f>
        <v>0</v>
      </c>
    </row>
    <row r="49" spans="1:4">
      <c r="A49" s="1173" t="s">
        <v>1026</v>
      </c>
      <c r="B49" s="1174"/>
      <c r="C49" s="1175"/>
      <c r="D49" s="882">
        <f>J5+K5+J19+K19+J28+K28</f>
        <v>0</v>
      </c>
    </row>
    <row r="50" spans="1:4">
      <c r="A50" s="1173" t="s">
        <v>1028</v>
      </c>
      <c r="B50" s="1174"/>
      <c r="C50" s="1175"/>
      <c r="D50" s="882">
        <f>L5+L19+L28</f>
        <v>0</v>
      </c>
    </row>
    <row r="51" spans="1:4">
      <c r="A51" s="1173" t="s">
        <v>1029</v>
      </c>
      <c r="B51" s="1174"/>
      <c r="C51" s="1175"/>
      <c r="D51" s="882">
        <f>H13+I13</f>
        <v>0</v>
      </c>
    </row>
    <row r="52" spans="1:4">
      <c r="A52" s="1173" t="s">
        <v>1031</v>
      </c>
      <c r="B52" s="1174"/>
      <c r="C52" s="1175"/>
      <c r="D52" s="882">
        <f>J13</f>
        <v>0</v>
      </c>
    </row>
    <row r="53" spans="1:4">
      <c r="A53" s="1173" t="s">
        <v>1033</v>
      </c>
      <c r="B53" s="1174"/>
      <c r="C53" s="1175"/>
      <c r="D53" s="882">
        <f>K13</f>
        <v>0</v>
      </c>
    </row>
    <row r="54" spans="1:4">
      <c r="A54" s="1173" t="s">
        <v>1047</v>
      </c>
      <c r="B54" s="1174"/>
      <c r="C54" s="1175"/>
      <c r="D54" s="882">
        <f>L13</f>
        <v>0</v>
      </c>
    </row>
    <row r="55" spans="1:4">
      <c r="A55" s="1173" t="s">
        <v>835</v>
      </c>
      <c r="B55" s="1174"/>
      <c r="C55" s="1175"/>
      <c r="D55" s="882">
        <f>H20+I20+J20+K20+L20</f>
        <v>0</v>
      </c>
    </row>
    <row r="56" spans="1:4">
      <c r="A56" s="1173" t="s">
        <v>1170</v>
      </c>
      <c r="B56" s="1174"/>
      <c r="C56" s="1175"/>
      <c r="D56" s="882">
        <f>H6+I6+J6+K6+L6+H21+I21+J21+K21+L21</f>
        <v>0</v>
      </c>
    </row>
    <row r="57" spans="1:4" ht="15" thickBot="1">
      <c r="A57" s="1176" t="s">
        <v>1171</v>
      </c>
      <c r="B57" s="1177"/>
      <c r="C57" s="1178"/>
      <c r="D57" s="883">
        <f>H7+I7+J7+K7+L7+H22+I22+J22+K22+L22</f>
        <v>0</v>
      </c>
    </row>
  </sheetData>
  <mergeCells count="19">
    <mergeCell ref="A39:C39"/>
    <mergeCell ref="A45:C45"/>
    <mergeCell ref="A46:C46"/>
    <mergeCell ref="A47:C47"/>
    <mergeCell ref="A48:C48"/>
    <mergeCell ref="A40:C40"/>
    <mergeCell ref="A56:C56"/>
    <mergeCell ref="A57:C57"/>
    <mergeCell ref="A42:C42"/>
    <mergeCell ref="A41:C41"/>
    <mergeCell ref="A43:C43"/>
    <mergeCell ref="A44:C44"/>
    <mergeCell ref="A50:C50"/>
    <mergeCell ref="A51:C51"/>
    <mergeCell ref="A52:C52"/>
    <mergeCell ref="A53:C53"/>
    <mergeCell ref="A54:C54"/>
    <mergeCell ref="A55:C55"/>
    <mergeCell ref="A49:C49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"/>
  <sheetViews>
    <sheetView workbookViewId="0">
      <selection activeCell="B3" sqref="B3"/>
    </sheetView>
  </sheetViews>
  <sheetFormatPr defaultRowHeight="14.4"/>
  <sheetData>
    <row r="2" spans="2:2">
      <c r="B2" s="24" t="s">
        <v>148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pageSetUpPr fitToPage="1"/>
  </sheetPr>
  <dimension ref="A1:S68"/>
  <sheetViews>
    <sheetView topLeftCell="A3" zoomScale="70" zoomScaleNormal="70" workbookViewId="0">
      <selection activeCell="D6" sqref="D6"/>
    </sheetView>
  </sheetViews>
  <sheetFormatPr defaultRowHeight="14.4"/>
  <cols>
    <col min="1" max="1" width="33.33203125" style="23" bestFit="1" customWidth="1"/>
    <col min="2" max="2" width="41.21875" style="23" hidden="1" customWidth="1"/>
    <col min="3" max="3" width="34.88671875" style="23" customWidth="1"/>
    <col min="4" max="4" width="28.77734375" style="23" customWidth="1"/>
    <col min="5" max="5" width="40" style="23" bestFit="1" customWidth="1"/>
    <col min="6" max="6" width="23.21875" style="23" customWidth="1"/>
    <col min="7" max="7" width="18.77734375" style="23" customWidth="1"/>
    <col min="8" max="8" width="30.44140625" style="23" bestFit="1" customWidth="1"/>
    <col min="9" max="9" width="23.88671875" style="23" customWidth="1"/>
    <col min="10" max="10" width="27.6640625" style="23" bestFit="1" customWidth="1"/>
    <col min="11" max="11" width="13.88671875" style="23" bestFit="1" customWidth="1"/>
    <col min="12" max="12" width="16.109375" style="23" bestFit="1" customWidth="1"/>
    <col min="13" max="13" width="13" style="23" bestFit="1" customWidth="1"/>
    <col min="14" max="14" width="16" style="23" bestFit="1" customWidth="1"/>
    <col min="15" max="15" width="16.109375" style="23" bestFit="1" customWidth="1"/>
    <col min="16" max="16" width="19.88671875" style="23" customWidth="1"/>
    <col min="17" max="17" width="18.21875" style="23" customWidth="1"/>
    <col min="18" max="18" width="28.109375" style="23" bestFit="1" customWidth="1"/>
    <col min="19" max="19" width="23.77734375" style="23" customWidth="1"/>
    <col min="20" max="263" width="9.109375" style="23"/>
    <col min="264" max="264" width="12.33203125" style="23" bestFit="1" customWidth="1"/>
    <col min="265" max="265" width="16.44140625" style="23" bestFit="1" customWidth="1"/>
    <col min="266" max="268" width="18.33203125" style="23" customWidth="1"/>
    <col min="269" max="269" width="14.33203125" style="23" customWidth="1"/>
    <col min="270" max="270" width="31.109375" style="23" bestFit="1" customWidth="1"/>
    <col min="271" max="272" width="11.5546875" style="23" customWidth="1"/>
    <col min="273" max="273" width="10.6640625" style="23" customWidth="1"/>
    <col min="274" max="519" width="9.109375" style="23"/>
    <col min="520" max="520" width="12.33203125" style="23" bestFit="1" customWidth="1"/>
    <col min="521" max="521" width="16.44140625" style="23" bestFit="1" customWidth="1"/>
    <col min="522" max="524" width="18.33203125" style="23" customWidth="1"/>
    <col min="525" max="525" width="14.33203125" style="23" customWidth="1"/>
    <col min="526" max="526" width="31.109375" style="23" bestFit="1" customWidth="1"/>
    <col min="527" max="528" width="11.5546875" style="23" customWidth="1"/>
    <col min="529" max="529" width="10.6640625" style="23" customWidth="1"/>
    <col min="530" max="775" width="9.109375" style="23"/>
    <col min="776" max="776" width="12.33203125" style="23" bestFit="1" customWidth="1"/>
    <col min="777" max="777" width="16.44140625" style="23" bestFit="1" customWidth="1"/>
    <col min="778" max="780" width="18.33203125" style="23" customWidth="1"/>
    <col min="781" max="781" width="14.33203125" style="23" customWidth="1"/>
    <col min="782" max="782" width="31.109375" style="23" bestFit="1" customWidth="1"/>
    <col min="783" max="784" width="11.5546875" style="23" customWidth="1"/>
    <col min="785" max="785" width="10.6640625" style="23" customWidth="1"/>
    <col min="786" max="1031" width="9.109375" style="23"/>
    <col min="1032" max="1032" width="12.33203125" style="23" bestFit="1" customWidth="1"/>
    <col min="1033" max="1033" width="16.44140625" style="23" bestFit="1" customWidth="1"/>
    <col min="1034" max="1036" width="18.33203125" style="23" customWidth="1"/>
    <col min="1037" max="1037" width="14.33203125" style="23" customWidth="1"/>
    <col min="1038" max="1038" width="31.109375" style="23" bestFit="1" customWidth="1"/>
    <col min="1039" max="1040" width="11.5546875" style="23" customWidth="1"/>
    <col min="1041" max="1041" width="10.6640625" style="23" customWidth="1"/>
    <col min="1042" max="1287" width="9.109375" style="23"/>
    <col min="1288" max="1288" width="12.33203125" style="23" bestFit="1" customWidth="1"/>
    <col min="1289" max="1289" width="16.44140625" style="23" bestFit="1" customWidth="1"/>
    <col min="1290" max="1292" width="18.33203125" style="23" customWidth="1"/>
    <col min="1293" max="1293" width="14.33203125" style="23" customWidth="1"/>
    <col min="1294" max="1294" width="31.109375" style="23" bestFit="1" customWidth="1"/>
    <col min="1295" max="1296" width="11.5546875" style="23" customWidth="1"/>
    <col min="1297" max="1297" width="10.6640625" style="23" customWidth="1"/>
    <col min="1298" max="1543" width="9.109375" style="23"/>
    <col min="1544" max="1544" width="12.33203125" style="23" bestFit="1" customWidth="1"/>
    <col min="1545" max="1545" width="16.44140625" style="23" bestFit="1" customWidth="1"/>
    <col min="1546" max="1548" width="18.33203125" style="23" customWidth="1"/>
    <col min="1549" max="1549" width="14.33203125" style="23" customWidth="1"/>
    <col min="1550" max="1550" width="31.109375" style="23" bestFit="1" customWidth="1"/>
    <col min="1551" max="1552" width="11.5546875" style="23" customWidth="1"/>
    <col min="1553" max="1553" width="10.6640625" style="23" customWidth="1"/>
    <col min="1554" max="1799" width="9.109375" style="23"/>
    <col min="1800" max="1800" width="12.33203125" style="23" bestFit="1" customWidth="1"/>
    <col min="1801" max="1801" width="16.44140625" style="23" bestFit="1" customWidth="1"/>
    <col min="1802" max="1804" width="18.33203125" style="23" customWidth="1"/>
    <col min="1805" max="1805" width="14.33203125" style="23" customWidth="1"/>
    <col min="1806" max="1806" width="31.109375" style="23" bestFit="1" customWidth="1"/>
    <col min="1807" max="1808" width="11.5546875" style="23" customWidth="1"/>
    <col min="1809" max="1809" width="10.6640625" style="23" customWidth="1"/>
    <col min="1810" max="2055" width="9.109375" style="23"/>
    <col min="2056" max="2056" width="12.33203125" style="23" bestFit="1" customWidth="1"/>
    <col min="2057" max="2057" width="16.44140625" style="23" bestFit="1" customWidth="1"/>
    <col min="2058" max="2060" width="18.33203125" style="23" customWidth="1"/>
    <col min="2061" max="2061" width="14.33203125" style="23" customWidth="1"/>
    <col min="2062" max="2062" width="31.109375" style="23" bestFit="1" customWidth="1"/>
    <col min="2063" max="2064" width="11.5546875" style="23" customWidth="1"/>
    <col min="2065" max="2065" width="10.6640625" style="23" customWidth="1"/>
    <col min="2066" max="2311" width="9.109375" style="23"/>
    <col min="2312" max="2312" width="12.33203125" style="23" bestFit="1" customWidth="1"/>
    <col min="2313" max="2313" width="16.44140625" style="23" bestFit="1" customWidth="1"/>
    <col min="2314" max="2316" width="18.33203125" style="23" customWidth="1"/>
    <col min="2317" max="2317" width="14.33203125" style="23" customWidth="1"/>
    <col min="2318" max="2318" width="31.109375" style="23" bestFit="1" customWidth="1"/>
    <col min="2319" max="2320" width="11.5546875" style="23" customWidth="1"/>
    <col min="2321" max="2321" width="10.6640625" style="23" customWidth="1"/>
    <col min="2322" max="2567" width="9.109375" style="23"/>
    <col min="2568" max="2568" width="12.33203125" style="23" bestFit="1" customWidth="1"/>
    <col min="2569" max="2569" width="16.44140625" style="23" bestFit="1" customWidth="1"/>
    <col min="2570" max="2572" width="18.33203125" style="23" customWidth="1"/>
    <col min="2573" max="2573" width="14.33203125" style="23" customWidth="1"/>
    <col min="2574" max="2574" width="31.109375" style="23" bestFit="1" customWidth="1"/>
    <col min="2575" max="2576" width="11.5546875" style="23" customWidth="1"/>
    <col min="2577" max="2577" width="10.6640625" style="23" customWidth="1"/>
    <col min="2578" max="2823" width="9.109375" style="23"/>
    <col min="2824" max="2824" width="12.33203125" style="23" bestFit="1" customWidth="1"/>
    <col min="2825" max="2825" width="16.44140625" style="23" bestFit="1" customWidth="1"/>
    <col min="2826" max="2828" width="18.33203125" style="23" customWidth="1"/>
    <col min="2829" max="2829" width="14.33203125" style="23" customWidth="1"/>
    <col min="2830" max="2830" width="31.109375" style="23" bestFit="1" customWidth="1"/>
    <col min="2831" max="2832" width="11.5546875" style="23" customWidth="1"/>
    <col min="2833" max="2833" width="10.6640625" style="23" customWidth="1"/>
    <col min="2834" max="3079" width="9.109375" style="23"/>
    <col min="3080" max="3080" width="12.33203125" style="23" bestFit="1" customWidth="1"/>
    <col min="3081" max="3081" width="16.44140625" style="23" bestFit="1" customWidth="1"/>
    <col min="3082" max="3084" width="18.33203125" style="23" customWidth="1"/>
    <col min="3085" max="3085" width="14.33203125" style="23" customWidth="1"/>
    <col min="3086" max="3086" width="31.109375" style="23" bestFit="1" customWidth="1"/>
    <col min="3087" max="3088" width="11.5546875" style="23" customWidth="1"/>
    <col min="3089" max="3089" width="10.6640625" style="23" customWidth="1"/>
    <col min="3090" max="3335" width="9.109375" style="23"/>
    <col min="3336" max="3336" width="12.33203125" style="23" bestFit="1" customWidth="1"/>
    <col min="3337" max="3337" width="16.44140625" style="23" bestFit="1" customWidth="1"/>
    <col min="3338" max="3340" width="18.33203125" style="23" customWidth="1"/>
    <col min="3341" max="3341" width="14.33203125" style="23" customWidth="1"/>
    <col min="3342" max="3342" width="31.109375" style="23" bestFit="1" customWidth="1"/>
    <col min="3343" max="3344" width="11.5546875" style="23" customWidth="1"/>
    <col min="3345" max="3345" width="10.6640625" style="23" customWidth="1"/>
    <col min="3346" max="3591" width="9.109375" style="23"/>
    <col min="3592" max="3592" width="12.33203125" style="23" bestFit="1" customWidth="1"/>
    <col min="3593" max="3593" width="16.44140625" style="23" bestFit="1" customWidth="1"/>
    <col min="3594" max="3596" width="18.33203125" style="23" customWidth="1"/>
    <col min="3597" max="3597" width="14.33203125" style="23" customWidth="1"/>
    <col min="3598" max="3598" width="31.109375" style="23" bestFit="1" customWidth="1"/>
    <col min="3599" max="3600" width="11.5546875" style="23" customWidth="1"/>
    <col min="3601" max="3601" width="10.6640625" style="23" customWidth="1"/>
    <col min="3602" max="3847" width="9.109375" style="23"/>
    <col min="3848" max="3848" width="12.33203125" style="23" bestFit="1" customWidth="1"/>
    <col min="3849" max="3849" width="16.44140625" style="23" bestFit="1" customWidth="1"/>
    <col min="3850" max="3852" width="18.33203125" style="23" customWidth="1"/>
    <col min="3853" max="3853" width="14.33203125" style="23" customWidth="1"/>
    <col min="3854" max="3854" width="31.109375" style="23" bestFit="1" customWidth="1"/>
    <col min="3855" max="3856" width="11.5546875" style="23" customWidth="1"/>
    <col min="3857" max="3857" width="10.6640625" style="23" customWidth="1"/>
    <col min="3858" max="4103" width="9.109375" style="23"/>
    <col min="4104" max="4104" width="12.33203125" style="23" bestFit="1" customWidth="1"/>
    <col min="4105" max="4105" width="16.44140625" style="23" bestFit="1" customWidth="1"/>
    <col min="4106" max="4108" width="18.33203125" style="23" customWidth="1"/>
    <col min="4109" max="4109" width="14.33203125" style="23" customWidth="1"/>
    <col min="4110" max="4110" width="31.109375" style="23" bestFit="1" customWidth="1"/>
    <col min="4111" max="4112" width="11.5546875" style="23" customWidth="1"/>
    <col min="4113" max="4113" width="10.6640625" style="23" customWidth="1"/>
    <col min="4114" max="4359" width="9.109375" style="23"/>
    <col min="4360" max="4360" width="12.33203125" style="23" bestFit="1" customWidth="1"/>
    <col min="4361" max="4361" width="16.44140625" style="23" bestFit="1" customWidth="1"/>
    <col min="4362" max="4364" width="18.33203125" style="23" customWidth="1"/>
    <col min="4365" max="4365" width="14.33203125" style="23" customWidth="1"/>
    <col min="4366" max="4366" width="31.109375" style="23" bestFit="1" customWidth="1"/>
    <col min="4367" max="4368" width="11.5546875" style="23" customWidth="1"/>
    <col min="4369" max="4369" width="10.6640625" style="23" customWidth="1"/>
    <col min="4370" max="4615" width="9.109375" style="23"/>
    <col min="4616" max="4616" width="12.33203125" style="23" bestFit="1" customWidth="1"/>
    <col min="4617" max="4617" width="16.44140625" style="23" bestFit="1" customWidth="1"/>
    <col min="4618" max="4620" width="18.33203125" style="23" customWidth="1"/>
    <col min="4621" max="4621" width="14.33203125" style="23" customWidth="1"/>
    <col min="4622" max="4622" width="31.109375" style="23" bestFit="1" customWidth="1"/>
    <col min="4623" max="4624" width="11.5546875" style="23" customWidth="1"/>
    <col min="4625" max="4625" width="10.6640625" style="23" customWidth="1"/>
    <col min="4626" max="4871" width="9.109375" style="23"/>
    <col min="4872" max="4872" width="12.33203125" style="23" bestFit="1" customWidth="1"/>
    <col min="4873" max="4873" width="16.44140625" style="23" bestFit="1" customWidth="1"/>
    <col min="4874" max="4876" width="18.33203125" style="23" customWidth="1"/>
    <col min="4877" max="4877" width="14.33203125" style="23" customWidth="1"/>
    <col min="4878" max="4878" width="31.109375" style="23" bestFit="1" customWidth="1"/>
    <col min="4879" max="4880" width="11.5546875" style="23" customWidth="1"/>
    <col min="4881" max="4881" width="10.6640625" style="23" customWidth="1"/>
    <col min="4882" max="5127" width="9.109375" style="23"/>
    <col min="5128" max="5128" width="12.33203125" style="23" bestFit="1" customWidth="1"/>
    <col min="5129" max="5129" width="16.44140625" style="23" bestFit="1" customWidth="1"/>
    <col min="5130" max="5132" width="18.33203125" style="23" customWidth="1"/>
    <col min="5133" max="5133" width="14.33203125" style="23" customWidth="1"/>
    <col min="5134" max="5134" width="31.109375" style="23" bestFit="1" customWidth="1"/>
    <col min="5135" max="5136" width="11.5546875" style="23" customWidth="1"/>
    <col min="5137" max="5137" width="10.6640625" style="23" customWidth="1"/>
    <col min="5138" max="5383" width="9.109375" style="23"/>
    <col min="5384" max="5384" width="12.33203125" style="23" bestFit="1" customWidth="1"/>
    <col min="5385" max="5385" width="16.44140625" style="23" bestFit="1" customWidth="1"/>
    <col min="5386" max="5388" width="18.33203125" style="23" customWidth="1"/>
    <col min="5389" max="5389" width="14.33203125" style="23" customWidth="1"/>
    <col min="5390" max="5390" width="31.109375" style="23" bestFit="1" customWidth="1"/>
    <col min="5391" max="5392" width="11.5546875" style="23" customWidth="1"/>
    <col min="5393" max="5393" width="10.6640625" style="23" customWidth="1"/>
    <col min="5394" max="5639" width="9.109375" style="23"/>
    <col min="5640" max="5640" width="12.33203125" style="23" bestFit="1" customWidth="1"/>
    <col min="5641" max="5641" width="16.44140625" style="23" bestFit="1" customWidth="1"/>
    <col min="5642" max="5644" width="18.33203125" style="23" customWidth="1"/>
    <col min="5645" max="5645" width="14.33203125" style="23" customWidth="1"/>
    <col min="5646" max="5646" width="31.109375" style="23" bestFit="1" customWidth="1"/>
    <col min="5647" max="5648" width="11.5546875" style="23" customWidth="1"/>
    <col min="5649" max="5649" width="10.6640625" style="23" customWidth="1"/>
    <col min="5650" max="5895" width="9.109375" style="23"/>
    <col min="5896" max="5896" width="12.33203125" style="23" bestFit="1" customWidth="1"/>
    <col min="5897" max="5897" width="16.44140625" style="23" bestFit="1" customWidth="1"/>
    <col min="5898" max="5900" width="18.33203125" style="23" customWidth="1"/>
    <col min="5901" max="5901" width="14.33203125" style="23" customWidth="1"/>
    <col min="5902" max="5902" width="31.109375" style="23" bestFit="1" customWidth="1"/>
    <col min="5903" max="5904" width="11.5546875" style="23" customWidth="1"/>
    <col min="5905" max="5905" width="10.6640625" style="23" customWidth="1"/>
    <col min="5906" max="6151" width="9.109375" style="23"/>
    <col min="6152" max="6152" width="12.33203125" style="23" bestFit="1" customWidth="1"/>
    <col min="6153" max="6153" width="16.44140625" style="23" bestFit="1" customWidth="1"/>
    <col min="6154" max="6156" width="18.33203125" style="23" customWidth="1"/>
    <col min="6157" max="6157" width="14.33203125" style="23" customWidth="1"/>
    <col min="6158" max="6158" width="31.109375" style="23" bestFit="1" customWidth="1"/>
    <col min="6159" max="6160" width="11.5546875" style="23" customWidth="1"/>
    <col min="6161" max="6161" width="10.6640625" style="23" customWidth="1"/>
    <col min="6162" max="6407" width="9.109375" style="23"/>
    <col min="6408" max="6408" width="12.33203125" style="23" bestFit="1" customWidth="1"/>
    <col min="6409" max="6409" width="16.44140625" style="23" bestFit="1" customWidth="1"/>
    <col min="6410" max="6412" width="18.33203125" style="23" customWidth="1"/>
    <col min="6413" max="6413" width="14.33203125" style="23" customWidth="1"/>
    <col min="6414" max="6414" width="31.109375" style="23" bestFit="1" customWidth="1"/>
    <col min="6415" max="6416" width="11.5546875" style="23" customWidth="1"/>
    <col min="6417" max="6417" width="10.6640625" style="23" customWidth="1"/>
    <col min="6418" max="6663" width="9.109375" style="23"/>
    <col min="6664" max="6664" width="12.33203125" style="23" bestFit="1" customWidth="1"/>
    <col min="6665" max="6665" width="16.44140625" style="23" bestFit="1" customWidth="1"/>
    <col min="6666" max="6668" width="18.33203125" style="23" customWidth="1"/>
    <col min="6669" max="6669" width="14.33203125" style="23" customWidth="1"/>
    <col min="6670" max="6670" width="31.109375" style="23" bestFit="1" customWidth="1"/>
    <col min="6671" max="6672" width="11.5546875" style="23" customWidth="1"/>
    <col min="6673" max="6673" width="10.6640625" style="23" customWidth="1"/>
    <col min="6674" max="6919" width="9.109375" style="23"/>
    <col min="6920" max="6920" width="12.33203125" style="23" bestFit="1" customWidth="1"/>
    <col min="6921" max="6921" width="16.44140625" style="23" bestFit="1" customWidth="1"/>
    <col min="6922" max="6924" width="18.33203125" style="23" customWidth="1"/>
    <col min="6925" max="6925" width="14.33203125" style="23" customWidth="1"/>
    <col min="6926" max="6926" width="31.109375" style="23" bestFit="1" customWidth="1"/>
    <col min="6927" max="6928" width="11.5546875" style="23" customWidth="1"/>
    <col min="6929" max="6929" width="10.6640625" style="23" customWidth="1"/>
    <col min="6930" max="7175" width="9.109375" style="23"/>
    <col min="7176" max="7176" width="12.33203125" style="23" bestFit="1" customWidth="1"/>
    <col min="7177" max="7177" width="16.44140625" style="23" bestFit="1" customWidth="1"/>
    <col min="7178" max="7180" width="18.33203125" style="23" customWidth="1"/>
    <col min="7181" max="7181" width="14.33203125" style="23" customWidth="1"/>
    <col min="7182" max="7182" width="31.109375" style="23" bestFit="1" customWidth="1"/>
    <col min="7183" max="7184" width="11.5546875" style="23" customWidth="1"/>
    <col min="7185" max="7185" width="10.6640625" style="23" customWidth="1"/>
    <col min="7186" max="7431" width="9.109375" style="23"/>
    <col min="7432" max="7432" width="12.33203125" style="23" bestFit="1" customWidth="1"/>
    <col min="7433" max="7433" width="16.44140625" style="23" bestFit="1" customWidth="1"/>
    <col min="7434" max="7436" width="18.33203125" style="23" customWidth="1"/>
    <col min="7437" max="7437" width="14.33203125" style="23" customWidth="1"/>
    <col min="7438" max="7438" width="31.109375" style="23" bestFit="1" customWidth="1"/>
    <col min="7439" max="7440" width="11.5546875" style="23" customWidth="1"/>
    <col min="7441" max="7441" width="10.6640625" style="23" customWidth="1"/>
    <col min="7442" max="7687" width="9.109375" style="23"/>
    <col min="7688" max="7688" width="12.33203125" style="23" bestFit="1" customWidth="1"/>
    <col min="7689" max="7689" width="16.44140625" style="23" bestFit="1" customWidth="1"/>
    <col min="7690" max="7692" width="18.33203125" style="23" customWidth="1"/>
    <col min="7693" max="7693" width="14.33203125" style="23" customWidth="1"/>
    <col min="7694" max="7694" width="31.109375" style="23" bestFit="1" customWidth="1"/>
    <col min="7695" max="7696" width="11.5546875" style="23" customWidth="1"/>
    <col min="7697" max="7697" width="10.6640625" style="23" customWidth="1"/>
    <col min="7698" max="7943" width="9.109375" style="23"/>
    <col min="7944" max="7944" width="12.33203125" style="23" bestFit="1" customWidth="1"/>
    <col min="7945" max="7945" width="16.44140625" style="23" bestFit="1" customWidth="1"/>
    <col min="7946" max="7948" width="18.33203125" style="23" customWidth="1"/>
    <col min="7949" max="7949" width="14.33203125" style="23" customWidth="1"/>
    <col min="7950" max="7950" width="31.109375" style="23" bestFit="1" customWidth="1"/>
    <col min="7951" max="7952" width="11.5546875" style="23" customWidth="1"/>
    <col min="7953" max="7953" width="10.6640625" style="23" customWidth="1"/>
    <col min="7954" max="8199" width="9.109375" style="23"/>
    <col min="8200" max="8200" width="12.33203125" style="23" bestFit="1" customWidth="1"/>
    <col min="8201" max="8201" width="16.44140625" style="23" bestFit="1" customWidth="1"/>
    <col min="8202" max="8204" width="18.33203125" style="23" customWidth="1"/>
    <col min="8205" max="8205" width="14.33203125" style="23" customWidth="1"/>
    <col min="8206" max="8206" width="31.109375" style="23" bestFit="1" customWidth="1"/>
    <col min="8207" max="8208" width="11.5546875" style="23" customWidth="1"/>
    <col min="8209" max="8209" width="10.6640625" style="23" customWidth="1"/>
    <col min="8210" max="8455" width="9.109375" style="23"/>
    <col min="8456" max="8456" width="12.33203125" style="23" bestFit="1" customWidth="1"/>
    <col min="8457" max="8457" width="16.44140625" style="23" bestFit="1" customWidth="1"/>
    <col min="8458" max="8460" width="18.33203125" style="23" customWidth="1"/>
    <col min="8461" max="8461" width="14.33203125" style="23" customWidth="1"/>
    <col min="8462" max="8462" width="31.109375" style="23" bestFit="1" customWidth="1"/>
    <col min="8463" max="8464" width="11.5546875" style="23" customWidth="1"/>
    <col min="8465" max="8465" width="10.6640625" style="23" customWidth="1"/>
    <col min="8466" max="8711" width="9.109375" style="23"/>
    <col min="8712" max="8712" width="12.33203125" style="23" bestFit="1" customWidth="1"/>
    <col min="8713" max="8713" width="16.44140625" style="23" bestFit="1" customWidth="1"/>
    <col min="8714" max="8716" width="18.33203125" style="23" customWidth="1"/>
    <col min="8717" max="8717" width="14.33203125" style="23" customWidth="1"/>
    <col min="8718" max="8718" width="31.109375" style="23" bestFit="1" customWidth="1"/>
    <col min="8719" max="8720" width="11.5546875" style="23" customWidth="1"/>
    <col min="8721" max="8721" width="10.6640625" style="23" customWidth="1"/>
    <col min="8722" max="8967" width="9.109375" style="23"/>
    <col min="8968" max="8968" width="12.33203125" style="23" bestFit="1" customWidth="1"/>
    <col min="8969" max="8969" width="16.44140625" style="23" bestFit="1" customWidth="1"/>
    <col min="8970" max="8972" width="18.33203125" style="23" customWidth="1"/>
    <col min="8973" max="8973" width="14.33203125" style="23" customWidth="1"/>
    <col min="8974" max="8974" width="31.109375" style="23" bestFit="1" customWidth="1"/>
    <col min="8975" max="8976" width="11.5546875" style="23" customWidth="1"/>
    <col min="8977" max="8977" width="10.6640625" style="23" customWidth="1"/>
    <col min="8978" max="9223" width="9.109375" style="23"/>
    <col min="9224" max="9224" width="12.33203125" style="23" bestFit="1" customWidth="1"/>
    <col min="9225" max="9225" width="16.44140625" style="23" bestFit="1" customWidth="1"/>
    <col min="9226" max="9228" width="18.33203125" style="23" customWidth="1"/>
    <col min="9229" max="9229" width="14.33203125" style="23" customWidth="1"/>
    <col min="9230" max="9230" width="31.109375" style="23" bestFit="1" customWidth="1"/>
    <col min="9231" max="9232" width="11.5546875" style="23" customWidth="1"/>
    <col min="9233" max="9233" width="10.6640625" style="23" customWidth="1"/>
    <col min="9234" max="9479" width="9.109375" style="23"/>
    <col min="9480" max="9480" width="12.33203125" style="23" bestFit="1" customWidth="1"/>
    <col min="9481" max="9481" width="16.44140625" style="23" bestFit="1" customWidth="1"/>
    <col min="9482" max="9484" width="18.33203125" style="23" customWidth="1"/>
    <col min="9485" max="9485" width="14.33203125" style="23" customWidth="1"/>
    <col min="9486" max="9486" width="31.109375" style="23" bestFit="1" customWidth="1"/>
    <col min="9487" max="9488" width="11.5546875" style="23" customWidth="1"/>
    <col min="9489" max="9489" width="10.6640625" style="23" customWidth="1"/>
    <col min="9490" max="9735" width="9.109375" style="23"/>
    <col min="9736" max="9736" width="12.33203125" style="23" bestFit="1" customWidth="1"/>
    <col min="9737" max="9737" width="16.44140625" style="23" bestFit="1" customWidth="1"/>
    <col min="9738" max="9740" width="18.33203125" style="23" customWidth="1"/>
    <col min="9741" max="9741" width="14.33203125" style="23" customWidth="1"/>
    <col min="9742" max="9742" width="31.109375" style="23" bestFit="1" customWidth="1"/>
    <col min="9743" max="9744" width="11.5546875" style="23" customWidth="1"/>
    <col min="9745" max="9745" width="10.6640625" style="23" customWidth="1"/>
    <col min="9746" max="9991" width="9.109375" style="23"/>
    <col min="9992" max="9992" width="12.33203125" style="23" bestFit="1" customWidth="1"/>
    <col min="9993" max="9993" width="16.44140625" style="23" bestFit="1" customWidth="1"/>
    <col min="9994" max="9996" width="18.33203125" style="23" customWidth="1"/>
    <col min="9997" max="9997" width="14.33203125" style="23" customWidth="1"/>
    <col min="9998" max="9998" width="31.109375" style="23" bestFit="1" customWidth="1"/>
    <col min="9999" max="10000" width="11.5546875" style="23" customWidth="1"/>
    <col min="10001" max="10001" width="10.6640625" style="23" customWidth="1"/>
    <col min="10002" max="10247" width="9.109375" style="23"/>
    <col min="10248" max="10248" width="12.33203125" style="23" bestFit="1" customWidth="1"/>
    <col min="10249" max="10249" width="16.44140625" style="23" bestFit="1" customWidth="1"/>
    <col min="10250" max="10252" width="18.33203125" style="23" customWidth="1"/>
    <col min="10253" max="10253" width="14.33203125" style="23" customWidth="1"/>
    <col min="10254" max="10254" width="31.109375" style="23" bestFit="1" customWidth="1"/>
    <col min="10255" max="10256" width="11.5546875" style="23" customWidth="1"/>
    <col min="10257" max="10257" width="10.6640625" style="23" customWidth="1"/>
    <col min="10258" max="10503" width="9.109375" style="23"/>
    <col min="10504" max="10504" width="12.33203125" style="23" bestFit="1" customWidth="1"/>
    <col min="10505" max="10505" width="16.44140625" style="23" bestFit="1" customWidth="1"/>
    <col min="10506" max="10508" width="18.33203125" style="23" customWidth="1"/>
    <col min="10509" max="10509" width="14.33203125" style="23" customWidth="1"/>
    <col min="10510" max="10510" width="31.109375" style="23" bestFit="1" customWidth="1"/>
    <col min="10511" max="10512" width="11.5546875" style="23" customWidth="1"/>
    <col min="10513" max="10513" width="10.6640625" style="23" customWidth="1"/>
    <col min="10514" max="10759" width="9.109375" style="23"/>
    <col min="10760" max="10760" width="12.33203125" style="23" bestFit="1" customWidth="1"/>
    <col min="10761" max="10761" width="16.44140625" style="23" bestFit="1" customWidth="1"/>
    <col min="10762" max="10764" width="18.33203125" style="23" customWidth="1"/>
    <col min="10765" max="10765" width="14.33203125" style="23" customWidth="1"/>
    <col min="10766" max="10766" width="31.109375" style="23" bestFit="1" customWidth="1"/>
    <col min="10767" max="10768" width="11.5546875" style="23" customWidth="1"/>
    <col min="10769" max="10769" width="10.6640625" style="23" customWidth="1"/>
    <col min="10770" max="11015" width="9.109375" style="23"/>
    <col min="11016" max="11016" width="12.33203125" style="23" bestFit="1" customWidth="1"/>
    <col min="11017" max="11017" width="16.44140625" style="23" bestFit="1" customWidth="1"/>
    <col min="11018" max="11020" width="18.33203125" style="23" customWidth="1"/>
    <col min="11021" max="11021" width="14.33203125" style="23" customWidth="1"/>
    <col min="11022" max="11022" width="31.109375" style="23" bestFit="1" customWidth="1"/>
    <col min="11023" max="11024" width="11.5546875" style="23" customWidth="1"/>
    <col min="11025" max="11025" width="10.6640625" style="23" customWidth="1"/>
    <col min="11026" max="11271" width="9.109375" style="23"/>
    <col min="11272" max="11272" width="12.33203125" style="23" bestFit="1" customWidth="1"/>
    <col min="11273" max="11273" width="16.44140625" style="23" bestFit="1" customWidth="1"/>
    <col min="11274" max="11276" width="18.33203125" style="23" customWidth="1"/>
    <col min="11277" max="11277" width="14.33203125" style="23" customWidth="1"/>
    <col min="11278" max="11278" width="31.109375" style="23" bestFit="1" customWidth="1"/>
    <col min="11279" max="11280" width="11.5546875" style="23" customWidth="1"/>
    <col min="11281" max="11281" width="10.6640625" style="23" customWidth="1"/>
    <col min="11282" max="11527" width="9.109375" style="23"/>
    <col min="11528" max="11528" width="12.33203125" style="23" bestFit="1" customWidth="1"/>
    <col min="11529" max="11529" width="16.44140625" style="23" bestFit="1" customWidth="1"/>
    <col min="11530" max="11532" width="18.33203125" style="23" customWidth="1"/>
    <col min="11533" max="11533" width="14.33203125" style="23" customWidth="1"/>
    <col min="11534" max="11534" width="31.109375" style="23" bestFit="1" customWidth="1"/>
    <col min="11535" max="11536" width="11.5546875" style="23" customWidth="1"/>
    <col min="11537" max="11537" width="10.6640625" style="23" customWidth="1"/>
    <col min="11538" max="11783" width="9.109375" style="23"/>
    <col min="11784" max="11784" width="12.33203125" style="23" bestFit="1" customWidth="1"/>
    <col min="11785" max="11785" width="16.44140625" style="23" bestFit="1" customWidth="1"/>
    <col min="11786" max="11788" width="18.33203125" style="23" customWidth="1"/>
    <col min="11789" max="11789" width="14.33203125" style="23" customWidth="1"/>
    <col min="11790" max="11790" width="31.109375" style="23" bestFit="1" customWidth="1"/>
    <col min="11791" max="11792" width="11.5546875" style="23" customWidth="1"/>
    <col min="11793" max="11793" width="10.6640625" style="23" customWidth="1"/>
    <col min="11794" max="12039" width="9.109375" style="23"/>
    <col min="12040" max="12040" width="12.33203125" style="23" bestFit="1" customWidth="1"/>
    <col min="12041" max="12041" width="16.44140625" style="23" bestFit="1" customWidth="1"/>
    <col min="12042" max="12044" width="18.33203125" style="23" customWidth="1"/>
    <col min="12045" max="12045" width="14.33203125" style="23" customWidth="1"/>
    <col min="12046" max="12046" width="31.109375" style="23" bestFit="1" customWidth="1"/>
    <col min="12047" max="12048" width="11.5546875" style="23" customWidth="1"/>
    <col min="12049" max="12049" width="10.6640625" style="23" customWidth="1"/>
    <col min="12050" max="12295" width="9.109375" style="23"/>
    <col min="12296" max="12296" width="12.33203125" style="23" bestFit="1" customWidth="1"/>
    <col min="12297" max="12297" width="16.44140625" style="23" bestFit="1" customWidth="1"/>
    <col min="12298" max="12300" width="18.33203125" style="23" customWidth="1"/>
    <col min="12301" max="12301" width="14.33203125" style="23" customWidth="1"/>
    <col min="12302" max="12302" width="31.109375" style="23" bestFit="1" customWidth="1"/>
    <col min="12303" max="12304" width="11.5546875" style="23" customWidth="1"/>
    <col min="12305" max="12305" width="10.6640625" style="23" customWidth="1"/>
    <col min="12306" max="12551" width="9.109375" style="23"/>
    <col min="12552" max="12552" width="12.33203125" style="23" bestFit="1" customWidth="1"/>
    <col min="12553" max="12553" width="16.44140625" style="23" bestFit="1" customWidth="1"/>
    <col min="12554" max="12556" width="18.33203125" style="23" customWidth="1"/>
    <col min="12557" max="12557" width="14.33203125" style="23" customWidth="1"/>
    <col min="12558" max="12558" width="31.109375" style="23" bestFit="1" customWidth="1"/>
    <col min="12559" max="12560" width="11.5546875" style="23" customWidth="1"/>
    <col min="12561" max="12561" width="10.6640625" style="23" customWidth="1"/>
    <col min="12562" max="12807" width="9.109375" style="23"/>
    <col min="12808" max="12808" width="12.33203125" style="23" bestFit="1" customWidth="1"/>
    <col min="12809" max="12809" width="16.44140625" style="23" bestFit="1" customWidth="1"/>
    <col min="12810" max="12812" width="18.33203125" style="23" customWidth="1"/>
    <col min="12813" max="12813" width="14.33203125" style="23" customWidth="1"/>
    <col min="12814" max="12814" width="31.109375" style="23" bestFit="1" customWidth="1"/>
    <col min="12815" max="12816" width="11.5546875" style="23" customWidth="1"/>
    <col min="12817" max="12817" width="10.6640625" style="23" customWidth="1"/>
    <col min="12818" max="13063" width="9.109375" style="23"/>
    <col min="13064" max="13064" width="12.33203125" style="23" bestFit="1" customWidth="1"/>
    <col min="13065" max="13065" width="16.44140625" style="23" bestFit="1" customWidth="1"/>
    <col min="13066" max="13068" width="18.33203125" style="23" customWidth="1"/>
    <col min="13069" max="13069" width="14.33203125" style="23" customWidth="1"/>
    <col min="13070" max="13070" width="31.109375" style="23" bestFit="1" customWidth="1"/>
    <col min="13071" max="13072" width="11.5546875" style="23" customWidth="1"/>
    <col min="13073" max="13073" width="10.6640625" style="23" customWidth="1"/>
    <col min="13074" max="13319" width="9.109375" style="23"/>
    <col min="13320" max="13320" width="12.33203125" style="23" bestFit="1" customWidth="1"/>
    <col min="13321" max="13321" width="16.44140625" style="23" bestFit="1" customWidth="1"/>
    <col min="13322" max="13324" width="18.33203125" style="23" customWidth="1"/>
    <col min="13325" max="13325" width="14.33203125" style="23" customWidth="1"/>
    <col min="13326" max="13326" width="31.109375" style="23" bestFit="1" customWidth="1"/>
    <col min="13327" max="13328" width="11.5546875" style="23" customWidth="1"/>
    <col min="13329" max="13329" width="10.6640625" style="23" customWidth="1"/>
    <col min="13330" max="13575" width="9.109375" style="23"/>
    <col min="13576" max="13576" width="12.33203125" style="23" bestFit="1" customWidth="1"/>
    <col min="13577" max="13577" width="16.44140625" style="23" bestFit="1" customWidth="1"/>
    <col min="13578" max="13580" width="18.33203125" style="23" customWidth="1"/>
    <col min="13581" max="13581" width="14.33203125" style="23" customWidth="1"/>
    <col min="13582" max="13582" width="31.109375" style="23" bestFit="1" customWidth="1"/>
    <col min="13583" max="13584" width="11.5546875" style="23" customWidth="1"/>
    <col min="13585" max="13585" width="10.6640625" style="23" customWidth="1"/>
    <col min="13586" max="13831" width="9.109375" style="23"/>
    <col min="13832" max="13832" width="12.33203125" style="23" bestFit="1" customWidth="1"/>
    <col min="13833" max="13833" width="16.44140625" style="23" bestFit="1" customWidth="1"/>
    <col min="13834" max="13836" width="18.33203125" style="23" customWidth="1"/>
    <col min="13837" max="13837" width="14.33203125" style="23" customWidth="1"/>
    <col min="13838" max="13838" width="31.109375" style="23" bestFit="1" customWidth="1"/>
    <col min="13839" max="13840" width="11.5546875" style="23" customWidth="1"/>
    <col min="13841" max="13841" width="10.6640625" style="23" customWidth="1"/>
    <col min="13842" max="14087" width="9.109375" style="23"/>
    <col min="14088" max="14088" width="12.33203125" style="23" bestFit="1" customWidth="1"/>
    <col min="14089" max="14089" width="16.44140625" style="23" bestFit="1" customWidth="1"/>
    <col min="14090" max="14092" width="18.33203125" style="23" customWidth="1"/>
    <col min="14093" max="14093" width="14.33203125" style="23" customWidth="1"/>
    <col min="14094" max="14094" width="31.109375" style="23" bestFit="1" customWidth="1"/>
    <col min="14095" max="14096" width="11.5546875" style="23" customWidth="1"/>
    <col min="14097" max="14097" width="10.6640625" style="23" customWidth="1"/>
    <col min="14098" max="14343" width="9.109375" style="23"/>
    <col min="14344" max="14344" width="12.33203125" style="23" bestFit="1" customWidth="1"/>
    <col min="14345" max="14345" width="16.44140625" style="23" bestFit="1" customWidth="1"/>
    <col min="14346" max="14348" width="18.33203125" style="23" customWidth="1"/>
    <col min="14349" max="14349" width="14.33203125" style="23" customWidth="1"/>
    <col min="14350" max="14350" width="31.109375" style="23" bestFit="1" customWidth="1"/>
    <col min="14351" max="14352" width="11.5546875" style="23" customWidth="1"/>
    <col min="14353" max="14353" width="10.6640625" style="23" customWidth="1"/>
    <col min="14354" max="14599" width="9.109375" style="23"/>
    <col min="14600" max="14600" width="12.33203125" style="23" bestFit="1" customWidth="1"/>
    <col min="14601" max="14601" width="16.44140625" style="23" bestFit="1" customWidth="1"/>
    <col min="14602" max="14604" width="18.33203125" style="23" customWidth="1"/>
    <col min="14605" max="14605" width="14.33203125" style="23" customWidth="1"/>
    <col min="14606" max="14606" width="31.109375" style="23" bestFit="1" customWidth="1"/>
    <col min="14607" max="14608" width="11.5546875" style="23" customWidth="1"/>
    <col min="14609" max="14609" width="10.6640625" style="23" customWidth="1"/>
    <col min="14610" max="14855" width="9.109375" style="23"/>
    <col min="14856" max="14856" width="12.33203125" style="23" bestFit="1" customWidth="1"/>
    <col min="14857" max="14857" width="16.44140625" style="23" bestFit="1" customWidth="1"/>
    <col min="14858" max="14860" width="18.33203125" style="23" customWidth="1"/>
    <col min="14861" max="14861" width="14.33203125" style="23" customWidth="1"/>
    <col min="14862" max="14862" width="31.109375" style="23" bestFit="1" customWidth="1"/>
    <col min="14863" max="14864" width="11.5546875" style="23" customWidth="1"/>
    <col min="14865" max="14865" width="10.6640625" style="23" customWidth="1"/>
    <col min="14866" max="15111" width="9.109375" style="23"/>
    <col min="15112" max="15112" width="12.33203125" style="23" bestFit="1" customWidth="1"/>
    <col min="15113" max="15113" width="16.44140625" style="23" bestFit="1" customWidth="1"/>
    <col min="15114" max="15116" width="18.33203125" style="23" customWidth="1"/>
    <col min="15117" max="15117" width="14.33203125" style="23" customWidth="1"/>
    <col min="15118" max="15118" width="31.109375" style="23" bestFit="1" customWidth="1"/>
    <col min="15119" max="15120" width="11.5546875" style="23" customWidth="1"/>
    <col min="15121" max="15121" width="10.6640625" style="23" customWidth="1"/>
    <col min="15122" max="15367" width="9.109375" style="23"/>
    <col min="15368" max="15368" width="12.33203125" style="23" bestFit="1" customWidth="1"/>
    <col min="15369" max="15369" width="16.44140625" style="23" bestFit="1" customWidth="1"/>
    <col min="15370" max="15372" width="18.33203125" style="23" customWidth="1"/>
    <col min="15373" max="15373" width="14.33203125" style="23" customWidth="1"/>
    <col min="15374" max="15374" width="31.109375" style="23" bestFit="1" customWidth="1"/>
    <col min="15375" max="15376" width="11.5546875" style="23" customWidth="1"/>
    <col min="15377" max="15377" width="10.6640625" style="23" customWidth="1"/>
    <col min="15378" max="15623" width="9.109375" style="23"/>
    <col min="15624" max="15624" width="12.33203125" style="23" bestFit="1" customWidth="1"/>
    <col min="15625" max="15625" width="16.44140625" style="23" bestFit="1" customWidth="1"/>
    <col min="15626" max="15628" width="18.33203125" style="23" customWidth="1"/>
    <col min="15629" max="15629" width="14.33203125" style="23" customWidth="1"/>
    <col min="15630" max="15630" width="31.109375" style="23" bestFit="1" customWidth="1"/>
    <col min="15631" max="15632" width="11.5546875" style="23" customWidth="1"/>
    <col min="15633" max="15633" width="10.6640625" style="23" customWidth="1"/>
    <col min="15634" max="15879" width="9.109375" style="23"/>
    <col min="15880" max="15880" width="12.33203125" style="23" bestFit="1" customWidth="1"/>
    <col min="15881" max="15881" width="16.44140625" style="23" bestFit="1" customWidth="1"/>
    <col min="15882" max="15884" width="18.33203125" style="23" customWidth="1"/>
    <col min="15885" max="15885" width="14.33203125" style="23" customWidth="1"/>
    <col min="15886" max="15886" width="31.109375" style="23" bestFit="1" customWidth="1"/>
    <col min="15887" max="15888" width="11.5546875" style="23" customWidth="1"/>
    <col min="15889" max="15889" width="10.6640625" style="23" customWidth="1"/>
    <col min="15890" max="16135" width="9.109375" style="23"/>
    <col min="16136" max="16136" width="12.33203125" style="23" bestFit="1" customWidth="1"/>
    <col min="16137" max="16137" width="16.44140625" style="23" bestFit="1" customWidth="1"/>
    <col min="16138" max="16140" width="18.33203125" style="23" customWidth="1"/>
    <col min="16141" max="16141" width="14.33203125" style="23" customWidth="1"/>
    <col min="16142" max="16142" width="31.109375" style="23" bestFit="1" customWidth="1"/>
    <col min="16143" max="16144" width="11.5546875" style="23" customWidth="1"/>
    <col min="16145" max="16145" width="10.6640625" style="23" customWidth="1"/>
    <col min="16146" max="16384" width="9.109375" style="23"/>
  </cols>
  <sheetData>
    <row r="1" spans="1:19" s="529" customFormat="1" ht="15" customHeight="1">
      <c r="A1" s="1002" t="s">
        <v>298</v>
      </c>
      <c r="B1" s="1003" t="s">
        <v>297</v>
      </c>
      <c r="C1" s="1004" t="s">
        <v>463</v>
      </c>
      <c r="D1" s="1002" t="s">
        <v>801</v>
      </c>
      <c r="E1" s="1002" t="s">
        <v>210</v>
      </c>
      <c r="F1" s="1002" t="s">
        <v>138</v>
      </c>
      <c r="G1" s="1005" t="s">
        <v>140</v>
      </c>
      <c r="H1" s="1005" t="s">
        <v>139</v>
      </c>
      <c r="I1" s="1002" t="s">
        <v>141</v>
      </c>
      <c r="J1" s="1002" t="s">
        <v>142</v>
      </c>
      <c r="K1" s="1002" t="s">
        <v>146</v>
      </c>
      <c r="L1" s="1002" t="s">
        <v>209</v>
      </c>
      <c r="M1" s="1002" t="s">
        <v>617</v>
      </c>
      <c r="N1" s="1002" t="s">
        <v>147</v>
      </c>
      <c r="O1" s="1002" t="s">
        <v>143</v>
      </c>
      <c r="P1" s="1002" t="s">
        <v>144</v>
      </c>
      <c r="Q1" s="1002" t="s">
        <v>145</v>
      </c>
      <c r="R1" s="1002" t="s">
        <v>595</v>
      </c>
      <c r="S1" s="1002" t="s">
        <v>596</v>
      </c>
    </row>
    <row r="2" spans="1:19" s="219" customFormat="1">
      <c r="A2" s="1006" t="str">
        <f>IF(C2="",B2,C2)</f>
        <v>n/a</v>
      </c>
      <c r="B2" s="1007" t="str">
        <f>IF(OR(E2="",E2="Stormwater",E2="Sewer",E2="Storm Water")=FALSE,CONCATENATE(DEC2HEX(ABS((G2*1000000)/(22/7*10))),DEC2HEX(ABS(H2*1000000)/(22/7*10))),"n/a")</f>
        <v>n/a</v>
      </c>
      <c r="C2" s="1008"/>
      <c r="D2" s="1009" t="s">
        <v>813</v>
      </c>
      <c r="E2" s="1009"/>
      <c r="F2" s="1010"/>
      <c r="G2" s="1011"/>
      <c r="H2" s="1012"/>
      <c r="I2" s="1013">
        <v>0</v>
      </c>
      <c r="J2" s="1009"/>
      <c r="K2" s="1009"/>
      <c r="L2" s="1009"/>
      <c r="M2" s="1009"/>
      <c r="N2" s="1009"/>
      <c r="O2" s="1009">
        <v>10</v>
      </c>
      <c r="P2" s="1009"/>
      <c r="Q2" s="1009"/>
      <c r="R2" s="1009"/>
      <c r="S2" s="1009"/>
    </row>
    <row r="3" spans="1:19" s="219" customFormat="1">
      <c r="A3" s="1006" t="str">
        <f t="shared" ref="A3:A6" si="0">IF(C3="",B3,C3)</f>
        <v>n/a</v>
      </c>
      <c r="B3" s="1007" t="str">
        <f t="shared" ref="B3:B6" si="1">IF(OR(E3="",E3="Stormwater",E3="Sewer",E3="Storm Water")=FALSE,CONCATENATE(DEC2HEX(ABS((G3*1000000)/(22/7*10))),DEC2HEX(ABS(H3*1000000)/(22/7*10))),"n/a")</f>
        <v>n/a</v>
      </c>
      <c r="C3" s="1008"/>
      <c r="D3" s="1009"/>
      <c r="E3" s="1009"/>
      <c r="F3" s="1014"/>
      <c r="G3" s="1011"/>
      <c r="H3" s="1012"/>
      <c r="I3" s="1013">
        <v>3</v>
      </c>
      <c r="J3" s="1009" t="s">
        <v>1277</v>
      </c>
      <c r="K3" s="1009"/>
      <c r="L3" s="1009" t="s">
        <v>781</v>
      </c>
      <c r="M3" s="1009" t="s">
        <v>786</v>
      </c>
      <c r="N3" s="1009" t="s">
        <v>939</v>
      </c>
      <c r="O3" s="1009"/>
      <c r="P3" s="1009"/>
      <c r="Q3" s="1009"/>
      <c r="R3" s="1009"/>
      <c r="S3" s="1009"/>
    </row>
    <row r="4" spans="1:19" s="219" customFormat="1">
      <c r="A4" s="1006" t="str">
        <f t="shared" si="0"/>
        <v>n/a</v>
      </c>
      <c r="B4" s="1007" t="str">
        <f t="shared" si="1"/>
        <v>n/a</v>
      </c>
      <c r="C4" s="1008"/>
      <c r="D4" s="1009"/>
      <c r="E4" s="1009"/>
      <c r="F4" s="1014"/>
      <c r="G4" s="1011"/>
      <c r="H4" s="1012"/>
      <c r="I4" s="1013">
        <v>3</v>
      </c>
      <c r="J4" s="1009" t="s">
        <v>1277</v>
      </c>
      <c r="K4" s="1009"/>
      <c r="L4" s="1009" t="s">
        <v>912</v>
      </c>
      <c r="M4" s="1009" t="s">
        <v>786</v>
      </c>
      <c r="N4" s="1009" t="s">
        <v>939</v>
      </c>
      <c r="O4" s="1009"/>
      <c r="P4" s="1009"/>
      <c r="Q4" s="1009"/>
      <c r="R4" s="1009"/>
      <c r="S4" s="1009"/>
    </row>
    <row r="5" spans="1:19" s="219" customFormat="1">
      <c r="A5" s="1006" t="str">
        <f t="shared" si="0"/>
        <v>n/a</v>
      </c>
      <c r="B5" s="1007" t="str">
        <f t="shared" si="1"/>
        <v>n/a</v>
      </c>
      <c r="C5" s="1008"/>
      <c r="D5" s="1009"/>
      <c r="E5" s="1009"/>
      <c r="F5" s="1014"/>
      <c r="G5" s="1011"/>
      <c r="H5" s="1012"/>
      <c r="I5" s="1013">
        <v>17</v>
      </c>
      <c r="J5" s="1009" t="s">
        <v>1277</v>
      </c>
      <c r="K5" s="1009"/>
      <c r="L5" s="1009" t="s">
        <v>777</v>
      </c>
      <c r="M5" s="1009" t="s">
        <v>786</v>
      </c>
      <c r="N5" s="1009" t="s">
        <v>939</v>
      </c>
      <c r="O5" s="1009"/>
      <c r="P5" s="1009"/>
      <c r="Q5" s="1009"/>
      <c r="R5" s="1009"/>
      <c r="S5" s="1009"/>
    </row>
    <row r="6" spans="1:19" s="219" customFormat="1">
      <c r="A6" s="1006" t="str">
        <f t="shared" si="0"/>
        <v>n/a</v>
      </c>
      <c r="B6" s="1007" t="str">
        <f t="shared" si="1"/>
        <v>n/a</v>
      </c>
      <c r="C6" s="1008"/>
      <c r="D6" s="1009"/>
      <c r="E6" s="1009"/>
      <c r="F6" s="1014"/>
      <c r="G6" s="1011"/>
      <c r="H6" s="1012"/>
      <c r="I6" s="1013">
        <v>32</v>
      </c>
      <c r="J6" s="1009" t="s">
        <v>1277</v>
      </c>
      <c r="K6" s="1009"/>
      <c r="L6" s="1009" t="s">
        <v>777</v>
      </c>
      <c r="M6" s="1009" t="s">
        <v>786</v>
      </c>
      <c r="N6" s="1009" t="s">
        <v>939</v>
      </c>
      <c r="O6" s="1009">
        <v>15</v>
      </c>
      <c r="P6" s="1009"/>
      <c r="Q6" s="1009"/>
      <c r="R6" s="1009"/>
      <c r="S6" s="1009"/>
    </row>
    <row r="7" spans="1:19" s="219" customFormat="1"/>
    <row r="8" spans="1:19" s="219" customFormat="1" ht="15" thickBot="1">
      <c r="H8" s="220" t="s">
        <v>304</v>
      </c>
      <c r="I8" s="221">
        <f>SUM(I2:I6)</f>
        <v>55</v>
      </c>
      <c r="O8" s="221">
        <f>SUM(O2:O6)</f>
        <v>25</v>
      </c>
      <c r="P8" s="221">
        <f>SUM(P2:P6)</f>
        <v>0</v>
      </c>
    </row>
    <row r="9" spans="1:19" s="219" customFormat="1" ht="15.6" thickTop="1" thickBot="1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</row>
    <row r="10" spans="1:19" s="219" customFormat="1" ht="15" thickBot="1">
      <c r="A10" s="222" t="s">
        <v>813</v>
      </c>
      <c r="B10" s="23"/>
      <c r="C10" s="326">
        <f>COUNTIFS(D2:D6,A10)</f>
        <v>1</v>
      </c>
      <c r="D10" s="23"/>
      <c r="E10" s="222" t="s">
        <v>531</v>
      </c>
      <c r="F10" s="896">
        <f>COUNTIFS(E2:E6,E10)</f>
        <v>0</v>
      </c>
      <c r="G10" s="23"/>
      <c r="H10" s="222" t="s">
        <v>914</v>
      </c>
      <c r="I10" s="896">
        <f>IFERROR(GETPIVOTDATA("Sum of DISTANCE",$K$11,"CABLE TYPE","EXISTING CABLE"),0)</f>
        <v>0</v>
      </c>
      <c r="J10" s="23"/>
      <c r="K10" s="1185" t="s">
        <v>628</v>
      </c>
      <c r="L10" s="1187"/>
      <c r="M10" s="1187"/>
      <c r="N10" s="1186"/>
      <c r="O10" s="23"/>
      <c r="P10"/>
      <c r="Q10" s="23"/>
      <c r="R10" s="23"/>
      <c r="S10" s="23"/>
    </row>
    <row r="11" spans="1:19" s="219" customFormat="1">
      <c r="A11" s="490" t="s">
        <v>802</v>
      </c>
      <c r="B11" s="23"/>
      <c r="C11" s="491">
        <f>COUNTIFS(D2:D6,A11)</f>
        <v>0</v>
      </c>
      <c r="D11" s="23"/>
      <c r="E11" s="312" t="s">
        <v>240</v>
      </c>
      <c r="F11" s="897">
        <f>COUNTIFS(E2:E6,E11)</f>
        <v>0</v>
      </c>
      <c r="G11" s="23"/>
      <c r="H11" s="315" t="s">
        <v>537</v>
      </c>
      <c r="I11" s="910">
        <f>IFERROR(GETPIVOTDATA("Sum of DISTANCE",$K$11,"CABLE TYPE","MF 12"),0)+IFERROR(GETPIVOTDATA("Sum of SLACK",$K$11,"CABLE TYPE","MF 12"),0)+IFERROR(GETPIVOTDATA("Sum of INVERT",$K$11,"CABLE TYPE","MF 12"),0)</f>
        <v>0</v>
      </c>
      <c r="J11" s="23"/>
      <c r="K11" s="313" t="s">
        <v>550</v>
      </c>
      <c r="L11" t="s">
        <v>551</v>
      </c>
      <c r="M11" t="s">
        <v>552</v>
      </c>
      <c r="N11" t="s">
        <v>553</v>
      </c>
      <c r="O11" s="23"/>
      <c r="P11"/>
      <c r="Q11" s="23"/>
      <c r="R11" s="23"/>
      <c r="S11" s="23"/>
    </row>
    <row r="12" spans="1:19" s="219" customFormat="1">
      <c r="A12" s="490" t="s">
        <v>803</v>
      </c>
      <c r="B12" s="23"/>
      <c r="C12" s="491">
        <f>COUNTIFS(D2:D6,A12)</f>
        <v>0</v>
      </c>
      <c r="D12" s="23"/>
      <c r="E12" s="223" t="s">
        <v>241</v>
      </c>
      <c r="F12" s="898">
        <f>COUNTIFS(E2:E6,E12)</f>
        <v>0</v>
      </c>
      <c r="G12" s="23"/>
      <c r="H12" s="315" t="s">
        <v>538</v>
      </c>
      <c r="I12" s="910">
        <f>IFERROR(GETPIVOTDATA("Sum of DISTANCE",$K$11,"CABLE TYPE","MF 24"),0)+IFERROR(GETPIVOTDATA("Sum of SLACK",$K$11,"CABLE TYPE","MF 24"),0)+IFERROR(GETPIVOTDATA("Sum of INVERT",$K$11,"CABLE TYPE","MF 24"),0)</f>
        <v>0</v>
      </c>
      <c r="J12" s="23"/>
      <c r="K12" s="314" t="s">
        <v>610</v>
      </c>
      <c r="L12" s="1218">
        <v>0</v>
      </c>
      <c r="M12" s="1218">
        <v>10</v>
      </c>
      <c r="N12" s="1218"/>
      <c r="O12" s="23"/>
      <c r="P12"/>
      <c r="Q12" s="23"/>
      <c r="R12" s="23"/>
      <c r="S12" s="23"/>
    </row>
    <row r="13" spans="1:19" s="219" customFormat="1">
      <c r="A13" s="490" t="s">
        <v>804</v>
      </c>
      <c r="B13" s="23"/>
      <c r="C13" s="491">
        <f>COUNTIFS(D2:D6,A13)</f>
        <v>0</v>
      </c>
      <c r="D13" s="23"/>
      <c r="E13" s="223" t="s">
        <v>757</v>
      </c>
      <c r="F13" s="898">
        <f>COUNTIFS(E2:E6,E13)</f>
        <v>0</v>
      </c>
      <c r="G13" s="23"/>
      <c r="H13" s="315" t="s">
        <v>539</v>
      </c>
      <c r="I13" s="910">
        <f>IFERROR(GETPIVOTDATA("Sum of DISTANCE",$K$11,"CABLE TYPE","MF 48"),0)+IFERROR(GETPIVOTDATA("Sum of SLACK",$K$11,"CABLE TYPE","MF 48"),0)+IFERROR(GETPIVOTDATA("Sum of INVERT",$K$11,"CABLE TYPE","MF 48"),0)</f>
        <v>0</v>
      </c>
      <c r="J13" s="23"/>
      <c r="K13" s="314" t="s">
        <v>939</v>
      </c>
      <c r="L13" s="1218">
        <v>55</v>
      </c>
      <c r="M13" s="1218">
        <v>15</v>
      </c>
      <c r="N13" s="1218"/>
      <c r="O13"/>
      <c r="P13"/>
      <c r="Q13" s="23"/>
      <c r="R13" s="23"/>
      <c r="S13" s="23"/>
    </row>
    <row r="14" spans="1:19" s="219" customFormat="1">
      <c r="A14" s="490" t="s">
        <v>805</v>
      </c>
      <c r="B14" s="23"/>
      <c r="C14" s="491">
        <f>COUNTIFS(D2:D6,A14)</f>
        <v>0</v>
      </c>
      <c r="D14" s="23"/>
      <c r="E14" s="223" t="s">
        <v>519</v>
      </c>
      <c r="F14" s="898">
        <f>COUNTIFS(E2:E6,E14)</f>
        <v>0</v>
      </c>
      <c r="G14" s="23"/>
      <c r="H14" s="315" t="s">
        <v>540</v>
      </c>
      <c r="I14" s="910">
        <f>IFERROR(GETPIVOTDATA("Sum of DISTANCE",$K$11,"CABLE TYPE","MF 72"),0)+IFERROR(GETPIVOTDATA("Sum of SLACK",$K$11,"CABLE TYPE","MF 72"),0)+IFERROR(GETPIVOTDATA("Sum of INVERT",$K$11,"CABLE TYPE","MF 72"),0)</f>
        <v>0</v>
      </c>
      <c r="J14" s="23"/>
      <c r="K14" s="314" t="s">
        <v>549</v>
      </c>
      <c r="L14" s="1218">
        <v>55</v>
      </c>
      <c r="M14" s="1218">
        <v>25</v>
      </c>
      <c r="N14" s="1218"/>
      <c r="O14"/>
      <c r="P14"/>
      <c r="Q14" s="23"/>
      <c r="R14" s="23"/>
      <c r="S14" s="23"/>
    </row>
    <row r="15" spans="1:19" s="219" customFormat="1">
      <c r="A15" s="490" t="s">
        <v>806</v>
      </c>
      <c r="B15" s="23"/>
      <c r="C15" s="491">
        <f>COUNTIFS(D2:D6,A15)</f>
        <v>0</v>
      </c>
      <c r="D15" s="23"/>
      <c r="E15" s="223" t="s">
        <v>520</v>
      </c>
      <c r="F15" s="898">
        <f>COUNTIFS(E2:E6,E15)</f>
        <v>0</v>
      </c>
      <c r="G15" s="23"/>
      <c r="H15" s="315" t="s">
        <v>541</v>
      </c>
      <c r="I15" s="910">
        <f>IFERROR(GETPIVOTDATA("Sum of DISTANCE",$K$11,"CABLE TYPE","MF 96"),0)+IFERROR(GETPIVOTDATA("Sum of SLACK",$K$11,"CABLE TYPE","MF 96"),0)+IFERROR(GETPIVOTDATA("Sum of INVERT",$K$11,"CABLE TYPE","MF 96"),0)</f>
        <v>0</v>
      </c>
      <c r="J15" s="23"/>
      <c r="K15"/>
      <c r="L15"/>
      <c r="M15"/>
      <c r="N15"/>
      <c r="O15"/>
      <c r="P15"/>
      <c r="Q15" s="23"/>
      <c r="R15" s="23"/>
      <c r="S15" s="23"/>
    </row>
    <row r="16" spans="1:19" s="219" customFormat="1">
      <c r="A16" s="490" t="s">
        <v>807</v>
      </c>
      <c r="B16" s="23"/>
      <c r="C16" s="491">
        <f>COUNTIFS(D2:D6,A16)</f>
        <v>0</v>
      </c>
      <c r="D16" s="23"/>
      <c r="E16" s="223" t="s">
        <v>1054</v>
      </c>
      <c r="F16" s="898">
        <f>COUNTIFS(E2:E6,E16)</f>
        <v>0</v>
      </c>
      <c r="G16" s="23"/>
      <c r="H16" s="315" t="s">
        <v>542</v>
      </c>
      <c r="I16" s="910">
        <f>IFERROR(GETPIVOTDATA("Sum of DISTANCE",$K$11,"CABLE TYPE","MF 144"),0)+IFERROR(GETPIVOTDATA("Sum of SLACK",$K$11,"CABLE TYPE","MF 144"),0)+IFERROR(GETPIVOTDATA("Sum of INVERT",$K$11,"CABLE TYPE","MF 144"),0)</f>
        <v>0</v>
      </c>
      <c r="J16" s="23"/>
      <c r="K16"/>
      <c r="L16"/>
      <c r="M16"/>
      <c r="N16"/>
      <c r="O16"/>
      <c r="P16"/>
      <c r="Q16" s="23"/>
      <c r="R16" s="23"/>
      <c r="S16" s="23"/>
    </row>
    <row r="17" spans="1:19" s="219" customFormat="1">
      <c r="A17" s="490" t="s">
        <v>808</v>
      </c>
      <c r="B17" s="23"/>
      <c r="C17" s="491">
        <f>COUNTIFS(D2:D6,A17)</f>
        <v>0</v>
      </c>
      <c r="D17" s="23"/>
      <c r="E17" s="223" t="s">
        <v>1055</v>
      </c>
      <c r="F17" s="898">
        <f>COUNTIFS(E2:E6,E17)</f>
        <v>0</v>
      </c>
      <c r="G17" s="23"/>
      <c r="H17" s="315" t="s">
        <v>543</v>
      </c>
      <c r="I17" s="910">
        <f>IFERROR(GETPIVOTDATA("Sum of DISTANCE",$K$11,"CABLE TYPE","MF 288"),0)+IFERROR(GETPIVOTDATA("Sum of SLACK",$K$11,"CABLE TYPE","MF 288"),0)+IFERROR(GETPIVOTDATA("Sum of INVERT",$K$11,"CABLE TYPE","MF 288"),0)</f>
        <v>0</v>
      </c>
      <c r="J17" s="23"/>
      <c r="K17"/>
      <c r="L17"/>
      <c r="M17"/>
      <c r="N17"/>
      <c r="O17"/>
      <c r="P17"/>
      <c r="Q17" s="23"/>
      <c r="R17" s="23"/>
      <c r="S17" s="23"/>
    </row>
    <row r="18" spans="1:19" s="219" customFormat="1">
      <c r="A18" s="490" t="s">
        <v>809</v>
      </c>
      <c r="B18" s="23"/>
      <c r="C18" s="491">
        <f>COUNTIFS(D2:D6,A18)</f>
        <v>0</v>
      </c>
      <c r="D18" s="23"/>
      <c r="E18" s="886" t="s">
        <v>1192</v>
      </c>
      <c r="F18" s="899">
        <f>COUNTIFS(E2:E6,E18)</f>
        <v>0</v>
      </c>
      <c r="G18" s="23"/>
      <c r="H18" s="886" t="s">
        <v>1186</v>
      </c>
      <c r="I18" s="910">
        <f>IFERROR(GETPIVOTDATA("Sum of DISTANCE",$K$11,"CABLE TYPE","AC 4 (Drop Cable)"),0)+IFERROR(GETPIVOTDATA("Sum of SLACK",$K$11,"CABLE TYPE","AC 4 (Drop Cable)"),0)+IFERROR(GETPIVOTDATA("Sum of INVERT",$K$11,"CABLE TYPE","AC 4 (Drop Cable)"),0)</f>
        <v>0</v>
      </c>
      <c r="J18" s="23"/>
      <c r="K18"/>
      <c r="L18"/>
      <c r="M18"/>
      <c r="N18"/>
      <c r="O18"/>
      <c r="P18"/>
      <c r="Q18" s="23"/>
      <c r="R18" s="23"/>
      <c r="S18" s="23"/>
    </row>
    <row r="19" spans="1:19" s="219" customFormat="1">
      <c r="A19" s="490" t="s">
        <v>810</v>
      </c>
      <c r="B19" s="23"/>
      <c r="C19" s="491">
        <f>COUNTIFS(D2:D6,A19)</f>
        <v>0</v>
      </c>
      <c r="D19" s="23"/>
      <c r="E19" s="886" t="s">
        <v>1188</v>
      </c>
      <c r="F19" s="899">
        <f>COUNTIFS(E2:E6,E19)</f>
        <v>0</v>
      </c>
      <c r="G19" s="23"/>
      <c r="H19" s="886" t="s">
        <v>1204</v>
      </c>
      <c r="I19" s="910">
        <f>IFERROR(GETPIVOTDATA("Sum of DISTANCE",$K$11,"CABLE TYPE","AC 8"),0)+IFERROR(GETPIVOTDATA("Sum of SLACK",$K$11,"CABLE TYPE","AC 8"),0)+IFERROR(GETPIVOTDATA("Sum of INVERT",$K$11,"CABLE TYPE","AC 8"),0)</f>
        <v>0</v>
      </c>
      <c r="J19" s="23"/>
      <c r="K19"/>
      <c r="L19"/>
      <c r="M19"/>
      <c r="N19"/>
      <c r="O19"/>
      <c r="P19"/>
      <c r="Q19" s="23"/>
      <c r="R19" s="23"/>
      <c r="S19" s="23"/>
    </row>
    <row r="20" spans="1:19" s="219" customFormat="1">
      <c r="A20" s="490" t="s">
        <v>821</v>
      </c>
      <c r="B20" s="23"/>
      <c r="C20" s="491">
        <f>COUNTIFS(D2:D6,A20)</f>
        <v>0</v>
      </c>
      <c r="D20" s="23"/>
      <c r="E20" s="886" t="s">
        <v>1193</v>
      </c>
      <c r="F20" s="899">
        <f>COUNTIFS(E2:E6,E20)</f>
        <v>0</v>
      </c>
      <c r="G20" s="23"/>
      <c r="H20" s="487" t="s">
        <v>1155</v>
      </c>
      <c r="I20" s="910">
        <f>IFERROR(GETPIVOTDATA("Sum of DISTANCE",$K$11,"CABLE TYPE","AC 12"),0)+IFERROR(GETPIVOTDATA("Sum of SLACK",$K$11,"CABLE TYPE","AC 12"),0)+IFERROR(GETPIVOTDATA("Sum of INVERT",$K$11,"CABLE TYPE","AC 12"),0)</f>
        <v>0</v>
      </c>
      <c r="J20" s="23"/>
      <c r="K20"/>
      <c r="L20"/>
      <c r="M20"/>
      <c r="N20"/>
      <c r="O20"/>
      <c r="P20"/>
      <c r="Q20" s="23"/>
      <c r="R20" s="23"/>
      <c r="S20" s="23"/>
    </row>
    <row r="21" spans="1:19" s="219" customFormat="1">
      <c r="A21" s="490" t="s">
        <v>811</v>
      </c>
      <c r="B21" s="23"/>
      <c r="C21" s="491">
        <f>COUNTIFS(D2:D6,A21)</f>
        <v>0</v>
      </c>
      <c r="D21" s="23"/>
      <c r="E21" s="886" t="s">
        <v>1190</v>
      </c>
      <c r="F21" s="899">
        <f>COUNTIFS(E2:E6,E21)</f>
        <v>0</v>
      </c>
      <c r="G21" s="23"/>
      <c r="H21" s="487" t="s">
        <v>754</v>
      </c>
      <c r="I21" s="910">
        <f>IFERROR(GETPIVOTDATA("Sum of DISTANCE",$K$11,"CABLE TYPE","AC 24"),0)+IFERROR(GETPIVOTDATA("Sum of SLACK",$K$11,"CABLE TYPE","AC 24"),0)+IFERROR(GETPIVOTDATA("Sum of INVERT",$K$11,"CABLE TYPE","AC 24"),0)</f>
        <v>0</v>
      </c>
      <c r="J21" s="23"/>
      <c r="K21"/>
      <c r="L21"/>
      <c r="M21"/>
      <c r="N21"/>
      <c r="O21"/>
      <c r="P21"/>
      <c r="Q21" s="23"/>
      <c r="R21" s="23"/>
      <c r="S21" s="23"/>
    </row>
    <row r="22" spans="1:19" s="219" customFormat="1">
      <c r="A22" s="490" t="s">
        <v>812</v>
      </c>
      <c r="B22" s="23"/>
      <c r="C22" s="491">
        <f>COUNTIFS(D2:D6,A22)</f>
        <v>0</v>
      </c>
      <c r="D22" s="23"/>
      <c r="E22" s="886" t="s">
        <v>1194</v>
      </c>
      <c r="F22" s="899">
        <f>COUNTIFS(E2:E6,E22)</f>
        <v>0</v>
      </c>
      <c r="G22" s="23"/>
      <c r="H22" s="487" t="s">
        <v>755</v>
      </c>
      <c r="I22" s="910">
        <f>IFERROR(GETPIVOTDATA("Sum of DISTANCE",$K$11,"CABLE TYPE","AC 48"),0)+IFERROR(GETPIVOTDATA("Sum of SLACK",$K$11,"CABLE TYPE","AC 48"),0)+IFERROR(GETPIVOTDATA("Sum of INVERT",$K$11,"CABLE TYPE","AC 48"),0)</f>
        <v>0</v>
      </c>
      <c r="J22" s="23"/>
      <c r="K22"/>
      <c r="L22"/>
      <c r="M22"/>
      <c r="N22"/>
      <c r="O22"/>
      <c r="P22"/>
      <c r="Q22" s="23"/>
      <c r="R22" s="23"/>
      <c r="S22" s="23"/>
    </row>
    <row r="23" spans="1:19" s="219" customFormat="1">
      <c r="A23" s="912" t="s">
        <v>1250</v>
      </c>
      <c r="B23" s="23"/>
      <c r="C23" s="841">
        <f>COUNTIFS(D2:D6,A23)</f>
        <v>0</v>
      </c>
      <c r="D23" s="23"/>
      <c r="E23" s="886" t="s">
        <v>1191</v>
      </c>
      <c r="F23" s="899">
        <f>COUNTIFS(E3:E7,E23)</f>
        <v>0</v>
      </c>
      <c r="G23" s="23"/>
      <c r="H23" s="487" t="s">
        <v>756</v>
      </c>
      <c r="I23" s="910">
        <f>IFERROR(GETPIVOTDATA("Sum of DISTANCE",$K$11,"CABLE TYPE","AC 72"),0)+IFERROR(GETPIVOTDATA("Sum of SLACK",$K$11,"CABLE TYPE","AC 72"),0)+IFERROR(GETPIVOTDATA("Sum of INVERT",$K$11,"CABLE TYPE","AC 72"),0)</f>
        <v>0</v>
      </c>
      <c r="J23" s="23"/>
      <c r="K23"/>
      <c r="L23"/>
      <c r="M23"/>
      <c r="N23"/>
      <c r="O23"/>
      <c r="P23" s="23"/>
      <c r="Q23" s="23"/>
      <c r="R23" s="23"/>
      <c r="S23" s="23"/>
    </row>
    <row r="24" spans="1:19" s="219" customFormat="1">
      <c r="A24" s="912" t="s">
        <v>1251</v>
      </c>
      <c r="B24" s="23"/>
      <c r="C24" s="841">
        <f>COUNTIFS(D2:D6,A24)</f>
        <v>0</v>
      </c>
      <c r="D24" s="23"/>
      <c r="E24" s="886" t="s">
        <v>1195</v>
      </c>
      <c r="F24" s="899">
        <f>COUNTIFS(E2:E6,E24)</f>
        <v>0</v>
      </c>
      <c r="G24" s="23"/>
      <c r="H24" s="487" t="s">
        <v>1156</v>
      </c>
      <c r="I24" s="910">
        <f>IFERROR(GETPIVOTDATA("Sum of DISTANCE",$K$11,"CABLE TYPE","AC 144"),0)+IFERROR(GETPIVOTDATA("Sum of SLACK",$K$11,"CABLE TYPE","AC 144"),0)+IFERROR(GETPIVOTDATA("Sum of INVERT",$K$11,"CABLE TYPE","AC 144"),0)</f>
        <v>0</v>
      </c>
      <c r="J24" s="23"/>
      <c r="K24"/>
      <c r="L24"/>
      <c r="M24"/>
      <c r="N24"/>
      <c r="O24"/>
      <c r="P24" s="23"/>
      <c r="Q24" s="23"/>
      <c r="R24" s="23"/>
      <c r="S24" s="23"/>
    </row>
    <row r="25" spans="1:19" s="219" customFormat="1">
      <c r="A25" s="912" t="s">
        <v>1252</v>
      </c>
      <c r="B25" s="23"/>
      <c r="C25" s="841">
        <f>COUNTIFS(D2:D6,A25)</f>
        <v>0</v>
      </c>
      <c r="D25" s="23"/>
      <c r="E25" s="886" t="s">
        <v>1196</v>
      </c>
      <c r="F25" s="899">
        <f>COUNTIFS(E2:E6,E25)</f>
        <v>0</v>
      </c>
      <c r="G25" s="23"/>
      <c r="H25" s="315" t="s">
        <v>555</v>
      </c>
      <c r="I25" s="910">
        <f>IFERROR(GETPIVOTDATA("Sum of DISTANCE",$K$11,"CABLE TYPE","CST 144"),0)+IFERROR(GETPIVOTDATA("Sum of SLACK",$K$11,"CABLE TYPE","CST 144"),0)+IFERROR(GETPIVOTDATA("Sum of INVERT",$K$11,"CABLE TYPE","CST 144"),0)</f>
        <v>0</v>
      </c>
      <c r="J25" s="23"/>
      <c r="K25"/>
      <c r="L25"/>
      <c r="M25"/>
      <c r="N25"/>
      <c r="O25"/>
      <c r="P25" s="23"/>
      <c r="Q25" s="23"/>
      <c r="R25" s="23"/>
      <c r="S25" s="23"/>
    </row>
    <row r="26" spans="1:19" s="219" customFormat="1">
      <c r="A26" s="912" t="s">
        <v>1253</v>
      </c>
      <c r="B26" s="23"/>
      <c r="C26" s="841">
        <f>COUNTIFS(D2:D6,A26)</f>
        <v>0</v>
      </c>
      <c r="D26" s="23"/>
      <c r="E26" s="886" t="s">
        <v>1182</v>
      </c>
      <c r="F26" s="899">
        <f>COUNTIFS(E6:E10,E26)</f>
        <v>0</v>
      </c>
      <c r="G26" s="23"/>
      <c r="H26" s="315" t="s">
        <v>556</v>
      </c>
      <c r="I26" s="910">
        <f>IFERROR(GETPIVOTDATA("Sum of DISTANCE",$K$11,"CABLE TYPE","CST 288"),0)+IFERROR(GETPIVOTDATA("Sum of SLACK",$K$11,"CABLE TYPE","CST 288"),0)+IFERROR(GETPIVOTDATA("Sum of INVERT",$K$11,"CABLE TYPE","CST 288"),0)</f>
        <v>0</v>
      </c>
      <c r="J26" s="23"/>
      <c r="K26" s="23"/>
      <c r="L26" s="23"/>
      <c r="M26" s="23"/>
      <c r="N26" s="23"/>
      <c r="O26" s="23"/>
      <c r="P26" s="23"/>
      <c r="Q26" s="23"/>
      <c r="R26" s="23"/>
      <c r="S26" s="23"/>
    </row>
    <row r="27" spans="1:19" s="219" customFormat="1" ht="15" thickBot="1">
      <c r="A27" s="912" t="s">
        <v>1254</v>
      </c>
      <c r="B27" s="23"/>
      <c r="C27" s="841">
        <f>COUNTIFS(D2:D6,A27)</f>
        <v>0</v>
      </c>
      <c r="D27" s="23"/>
      <c r="E27" s="886" t="s">
        <v>1183</v>
      </c>
      <c r="F27" s="899">
        <f>COUNTIFS(E6:E10,E27)</f>
        <v>0</v>
      </c>
      <c r="G27" s="23"/>
      <c r="H27" s="315" t="s">
        <v>544</v>
      </c>
      <c r="I27" s="910">
        <f>IFERROR(GETPIVOTDATA("Sum of DISTANCE",$K$11,"CABLE TYPE","FOCUS 72"),0)+IFERROR(GETPIVOTDATA("Sum of SLACK",$K$11,"CABLE TYPE","FOCUS 72"),0)+IFERROR(GETPIVOTDATA("Sum of INVERT",$K$11,"CABLE TYPE","FOCUS 72"),0)</f>
        <v>0</v>
      </c>
      <c r="J27" s="23"/>
      <c r="K27" s="23"/>
      <c r="L27" s="23"/>
      <c r="M27" s="23"/>
      <c r="N27"/>
      <c r="O27" s="23"/>
      <c r="P27" s="23"/>
      <c r="Q27" s="23"/>
      <c r="R27" s="23"/>
      <c r="S27" s="23"/>
    </row>
    <row r="28" spans="1:19" s="219" customFormat="1" ht="15" thickBot="1">
      <c r="A28" s="912" t="s">
        <v>1255</v>
      </c>
      <c r="B28" s="23"/>
      <c r="C28" s="841">
        <f>COUNTIFS(D2:D6,A28)</f>
        <v>0</v>
      </c>
      <c r="D28" s="23"/>
      <c r="E28" s="886" t="s">
        <v>1185</v>
      </c>
      <c r="F28" s="899">
        <f>COUNTIFS(E6:E10,E28)</f>
        <v>0</v>
      </c>
      <c r="G28" s="23"/>
      <c r="H28" s="315" t="s">
        <v>545</v>
      </c>
      <c r="I28" s="910">
        <f>IFERROR(GETPIVOTDATA("Sum of DISTANCE",$K$11,"CABLE TYPE","FOCUS 144"),0)+IFERROR(GETPIVOTDATA("Sum of SLACK",$K$11,"CABLE TYPE","FOCUS 144"),0)+IFERROR(GETPIVOTDATA("Sum of INVERT",$K$11,"CABLE TYPE","FOCUS 144"),0)</f>
        <v>0</v>
      </c>
      <c r="J28" s="23"/>
      <c r="K28" s="1185" t="s">
        <v>624</v>
      </c>
      <c r="L28" s="1186"/>
      <c r="M28" s="23"/>
      <c r="N28" s="1185" t="s">
        <v>626</v>
      </c>
      <c r="O28" s="1186"/>
      <c r="P28" s="23"/>
      <c r="Q28" s="23"/>
      <c r="R28" s="23"/>
      <c r="S28" s="23"/>
    </row>
    <row r="29" spans="1:19" s="219" customFormat="1">
      <c r="A29" s="912" t="s">
        <v>1256</v>
      </c>
      <c r="B29" s="23"/>
      <c r="C29" s="841">
        <f>COUNTIFS(D2:D6,A29)</f>
        <v>0</v>
      </c>
      <c r="D29" s="23"/>
      <c r="E29" s="886" t="s">
        <v>1184</v>
      </c>
      <c r="F29" s="899">
        <f>COUNTIFS(E6:E10,E29)</f>
        <v>0</v>
      </c>
      <c r="G29" s="23"/>
      <c r="H29" s="323" t="s">
        <v>546</v>
      </c>
      <c r="I29" s="911">
        <f>IFERROR(GETPIVOTDATA("Sum of DISTANCE",$K$11,"CABLE TYPE","FOCUS 288"),0)+IFERROR(GETPIVOTDATA("Sum of SLACK",$K$11,"CABLE TYPE","FOCUS 288"),0)+IFERROR(GETPIVOTDATA("Sum of INVERT",$K$11,"CABLE TYPE","FOCUS 288"),0)</f>
        <v>0</v>
      </c>
      <c r="J29" s="23"/>
      <c r="K29" s="313" t="s">
        <v>550</v>
      </c>
      <c r="L29" t="s">
        <v>551</v>
      </c>
      <c r="M29"/>
      <c r="N29" s="313" t="s">
        <v>550</v>
      </c>
      <c r="O29" t="s">
        <v>551</v>
      </c>
      <c r="P29"/>
      <c r="Q29" s="23"/>
      <c r="R29" s="23"/>
      <c r="S29" s="23"/>
    </row>
    <row r="30" spans="1:19" s="219" customFormat="1" ht="15" thickBot="1">
      <c r="A30" s="488" t="s">
        <v>814</v>
      </c>
      <c r="B30" s="23"/>
      <c r="C30" s="489">
        <f>COUNTIFS(D2:D6,A30)</f>
        <v>0</v>
      </c>
      <c r="D30" s="23"/>
      <c r="E30" s="223" t="s">
        <v>758</v>
      </c>
      <c r="F30" s="898">
        <f>COUNTIFS(E2:E6,E30)</f>
        <v>0</v>
      </c>
      <c r="G30" s="23"/>
      <c r="H30" s="912" t="s">
        <v>1245</v>
      </c>
      <c r="I30" s="911">
        <f>IFERROR(GETPIVOTDATA("Sum of DISTANCE",$K$11,"CABLE TYPE","VERTICASA (2X12) 24F"),0)+IFERROR(GETPIVOTDATA("Sum of SLACK",$K$11,"CABLE TYPE","VERTICASA (2X12) 24F"),0)+IFERROR(GETPIVOTDATA("Sum of INVERT",$K$11,"CABLE TYPE","VERTICASA (2X12) 24F"),0)</f>
        <v>0</v>
      </c>
      <c r="J30" s="23"/>
      <c r="K30" s="314" t="s">
        <v>610</v>
      </c>
      <c r="L30" s="1217">
        <v>0</v>
      </c>
      <c r="M30"/>
      <c r="N30" s="314" t="s">
        <v>610</v>
      </c>
      <c r="O30" s="1217">
        <v>0</v>
      </c>
      <c r="P30"/>
      <c r="Q30" s="23"/>
      <c r="R30" s="23"/>
      <c r="S30" s="23"/>
    </row>
    <row r="31" spans="1:19" s="219" customFormat="1">
      <c r="A31" s="23"/>
      <c r="B31" s="23"/>
      <c r="C31" s="23"/>
      <c r="D31" s="23"/>
      <c r="E31" s="223" t="s">
        <v>158</v>
      </c>
      <c r="F31" s="898">
        <f>COUNTIFS(E2:E6,E31)</f>
        <v>0</v>
      </c>
      <c r="G31" s="23"/>
      <c r="H31" s="912" t="s">
        <v>1246</v>
      </c>
      <c r="I31" s="911">
        <f>IFERROR(GETPIVOTDATA("Sum of DISTANCE",$K$11,"CABLE TYPE","VERTICASA (2X24) 48F"),0)+IFERROR(GETPIVOTDATA("Sum of SLACK",$K$11,"CABLE TYPE","VERTICASA (2X24) 48F"),0)+IFERROR(GETPIVOTDATA("Sum of INVERT",$K$11,"CABLE TYPE","VERTICASA (2X24) 48F"),0)</f>
        <v>0</v>
      </c>
      <c r="J31" s="23"/>
      <c r="K31" s="314" t="s">
        <v>786</v>
      </c>
      <c r="L31" s="1217">
        <v>55</v>
      </c>
      <c r="M31"/>
      <c r="N31" s="314" t="s">
        <v>781</v>
      </c>
      <c r="O31" s="1217">
        <v>3</v>
      </c>
      <c r="P31"/>
      <c r="Q31" s="23"/>
      <c r="R31" s="23"/>
      <c r="S31" s="23"/>
    </row>
    <row r="32" spans="1:19" s="219" customFormat="1" ht="15" thickBot="1">
      <c r="A32" s="23"/>
      <c r="B32" s="23"/>
      <c r="C32" s="23"/>
      <c r="D32" s="23"/>
      <c r="E32" s="223" t="s">
        <v>759</v>
      </c>
      <c r="F32" s="898">
        <f>COUNTIFS(E2:E6,E32)</f>
        <v>0</v>
      </c>
      <c r="G32" s="23"/>
      <c r="H32" s="323" t="s">
        <v>1247</v>
      </c>
      <c r="I32" s="911">
        <f>IFERROR(GETPIVOTDATA("Sum of DISTANCE",$K$11,"CABLE TYPE","VERTICASA (2X48) 96F"),0)+IFERROR(GETPIVOTDATA("Sum of SLACK",$K$11,"CABLE TYPE","VERTICASA (2X48) 96F"),0)+IFERROR(GETPIVOTDATA("Sum of INVERT",$K$11,"CABLE TYPE","VERTICASA (2X48) 96F"),0)</f>
        <v>0</v>
      </c>
      <c r="J32" s="23"/>
      <c r="K32" s="314" t="s">
        <v>549</v>
      </c>
      <c r="L32" s="1217">
        <v>55</v>
      </c>
      <c r="M32"/>
      <c r="N32" s="314" t="s">
        <v>912</v>
      </c>
      <c r="O32" s="1217">
        <v>3</v>
      </c>
      <c r="P32"/>
      <c r="Q32" s="23"/>
      <c r="R32" s="23"/>
      <c r="S32" s="23"/>
    </row>
    <row r="33" spans="1:19" s="219" customFormat="1">
      <c r="A33" s="23"/>
      <c r="B33" s="23"/>
      <c r="C33" s="23"/>
      <c r="D33" s="23"/>
      <c r="E33" s="223" t="s">
        <v>760</v>
      </c>
      <c r="F33" s="898">
        <f>COUNTIFS(E2:E6,E33)</f>
        <v>0</v>
      </c>
      <c r="G33" s="23"/>
      <c r="H33" s="539" t="s">
        <v>938</v>
      </c>
      <c r="I33" s="907">
        <f>IFERROR(GETPIVOTDATA("Sum of DISTANCE",$K$11,"CABLE TYPE","2 F DUAL DROP CABLE"),0)+IFERROR(GETPIVOTDATA("Sum of SLACK",$K$11,"CABLE TYPE","2 F DUAL DROP CABLE"),0)+IFERROR(GETPIVOTDATA("Sum of INVERT",$K$11,"CABLE TYPE","2 F DUAL DROP CABLE"),0)</f>
        <v>0</v>
      </c>
      <c r="J33" s="23"/>
      <c r="K33"/>
      <c r="L33"/>
      <c r="M33"/>
      <c r="N33" s="314" t="s">
        <v>777</v>
      </c>
      <c r="O33" s="1217">
        <v>49</v>
      </c>
      <c r="P33"/>
      <c r="Q33" s="23"/>
      <c r="R33" s="23"/>
      <c r="S33" s="23"/>
    </row>
    <row r="34" spans="1:19" s="219" customFormat="1">
      <c r="A34" s="23"/>
      <c r="B34" s="23"/>
      <c r="C34" s="23"/>
      <c r="D34" s="23"/>
      <c r="E34" s="436" t="s">
        <v>818</v>
      </c>
      <c r="F34" s="898">
        <f>COUNTIFS(E2:E6,E34)</f>
        <v>0</v>
      </c>
      <c r="G34" s="23"/>
      <c r="H34" s="540" t="s">
        <v>939</v>
      </c>
      <c r="I34" s="908">
        <f>IFERROR(GETPIVOTDATA("Sum of DISTANCE",$K$11,"CABLE TYPE","4 F DUAL DROP CABLE"),0)+IFERROR(GETPIVOTDATA("Sum of SLACK",$K$11,"CABLE TYPE","4 F DUAL DROP CABLE"),0)+IFERROR(GETPIVOTDATA("Sum of INVERT",$K$11,"CABLE TYPE","4 F DUAL DROP CABLE"),0)</f>
        <v>70</v>
      </c>
      <c r="J34" s="23"/>
      <c r="K34"/>
      <c r="L34"/>
      <c r="M34"/>
      <c r="N34" s="314" t="s">
        <v>549</v>
      </c>
      <c r="O34" s="1217">
        <v>55</v>
      </c>
      <c r="P34"/>
      <c r="Q34" s="23"/>
      <c r="R34" s="23"/>
      <c r="S34" s="23"/>
    </row>
    <row r="35" spans="1:19" s="219" customFormat="1">
      <c r="A35" s="23"/>
      <c r="B35" s="23"/>
      <c r="C35" s="23"/>
      <c r="D35" s="23"/>
      <c r="E35" s="224" t="s">
        <v>820</v>
      </c>
      <c r="F35" s="900">
        <f>COUNTIFS(E2:E6,E35)</f>
        <v>0</v>
      </c>
      <c r="G35" s="23"/>
      <c r="H35" s="540" t="s">
        <v>940</v>
      </c>
      <c r="I35" s="908">
        <f>IFERROR(GETPIVOTDATA("Sum of DISTANCE",$K$11,"CABLE TYPE","6 F DUAL DROP CABLE"),0)+IFERROR(GETPIVOTDATA("Sum of SLACK",$K$11,"CABLE TYPE","6 F DUAL DROP CABLE"),0)+IFERROR(GETPIVOTDATA("Sum of INVERT",$K$11,"CABLE TYPE","6 F DUAL DROP CABLE"),0)</f>
        <v>0</v>
      </c>
      <c r="J35" s="23"/>
      <c r="K35"/>
      <c r="L35"/>
      <c r="M35"/>
      <c r="N35"/>
      <c r="O35"/>
      <c r="P35"/>
      <c r="Q35" s="23"/>
      <c r="R35" s="23"/>
      <c r="S35" s="23"/>
    </row>
    <row r="36" spans="1:19" s="219" customFormat="1" ht="15" thickBot="1">
      <c r="A36" s="23"/>
      <c r="B36" s="23"/>
      <c r="C36" s="23"/>
      <c r="D36" s="23"/>
      <c r="E36" s="225" t="s">
        <v>761</v>
      </c>
      <c r="F36" s="901">
        <f>COUNTIFS(E2:E6,E36)</f>
        <v>0</v>
      </c>
      <c r="G36" s="23"/>
      <c r="H36" s="540" t="s">
        <v>941</v>
      </c>
      <c r="I36" s="908">
        <f>IFERROR(GETPIVOTDATA("Sum of DISTANCE",$K$11,"CABLE TYPE","8 F DUAL DROP CABLE"),0)+IFERROR(GETPIVOTDATA("Sum of SLACK",$K$11,"CABLE TYPE","8 F DUAL DROP CABLE"),0)+IFERROR(GETPIVOTDATA("Sum of INVERT",$K$11,"CABLE TYPE","8 F DUAL DROP CABLE"),0)</f>
        <v>0</v>
      </c>
      <c r="J36" s="23"/>
      <c r="K36"/>
      <c r="L36"/>
      <c r="M36"/>
      <c r="N36"/>
      <c r="O36"/>
      <c r="P36"/>
      <c r="Q36" s="23"/>
      <c r="R36" s="23"/>
      <c r="S36" s="23"/>
    </row>
    <row r="37" spans="1:19" s="219" customFormat="1">
      <c r="A37" s="23"/>
      <c r="B37" s="23"/>
      <c r="C37" s="23"/>
      <c r="D37" s="23"/>
      <c r="E37" s="23"/>
      <c r="F37" s="329"/>
      <c r="G37" s="23"/>
      <c r="H37" s="540" t="s">
        <v>942</v>
      </c>
      <c r="I37" s="908">
        <f>IFERROR(GETPIVOTDATA("Sum of DISTANCE",$K$11,"CABLE TYPE","12 F DUAL DROP CABLE"),0)+IFERROR(GETPIVOTDATA("Sum of SLACK",$K$11,"CABLE TYPE","12 F DUAL DROP CABLE"),0)+IFERROR(GETPIVOTDATA("Sum of INVERT",$K$11,"CABLE TYPE","12 F DUAL DROP CABLE"),0)</f>
        <v>0</v>
      </c>
      <c r="J37" s="23"/>
      <c r="K37"/>
      <c r="L37"/>
      <c r="M37"/>
      <c r="N37"/>
      <c r="O37"/>
      <c r="P37"/>
      <c r="Q37" s="23"/>
      <c r="R37" s="23"/>
      <c r="S37" s="23"/>
    </row>
    <row r="38" spans="1:19" s="219" customFormat="1" ht="15" thickBot="1">
      <c r="A38" s="23"/>
      <c r="B38" s="23"/>
      <c r="C38" s="23"/>
      <c r="D38" s="23"/>
      <c r="E38" s="23"/>
      <c r="F38" s="329"/>
      <c r="G38" s="23"/>
      <c r="H38" s="541" t="s">
        <v>943</v>
      </c>
      <c r="I38" s="909">
        <f>IFERROR(GETPIVOTDATA("Sum of DISTANCE",$K$11,"CABLE TYPE","24 F DUAL DROP CABLE"),0)+IFERROR(GETPIVOTDATA("Sum of SLACK",$K$11,"CABLE TYPE","24 F DUAL DROP CABLE"),0)+IFERROR(GETPIVOTDATA("Sum of INVERT",$K$11,"CABLE TYPE","24 F DUAL DROP CABLE"),0)</f>
        <v>0</v>
      </c>
      <c r="J38" s="23"/>
      <c r="K38"/>
      <c r="L38"/>
      <c r="M38"/>
      <c r="N38"/>
      <c r="O38"/>
      <c r="P38"/>
      <c r="Q38" s="23"/>
      <c r="R38" s="23"/>
      <c r="S38" s="23"/>
    </row>
    <row r="39" spans="1:19" s="219" customFormat="1" ht="15" thickBot="1">
      <c r="A39" s="23"/>
      <c r="B39" s="23"/>
      <c r="C39" s="23"/>
      <c r="D39" s="23"/>
      <c r="E39" s="222" t="s">
        <v>762</v>
      </c>
      <c r="F39" s="896">
        <f>COUNTIFS(J2:J6,E39)</f>
        <v>0</v>
      </c>
      <c r="G39" s="23"/>
      <c r="H39" s="623" t="s">
        <v>1071</v>
      </c>
      <c r="I39" s="624">
        <f>SUM(I33:I38)</f>
        <v>70</v>
      </c>
      <c r="J39" s="23"/>
      <c r="K39" s="1185" t="s">
        <v>625</v>
      </c>
      <c r="L39" s="1186"/>
      <c r="M39"/>
      <c r="N39" s="23"/>
      <c r="O39" s="23"/>
      <c r="P39"/>
      <c r="Q39" s="23"/>
      <c r="R39" s="23"/>
      <c r="S39" s="23"/>
    </row>
    <row r="40" spans="1:19" s="219" customFormat="1">
      <c r="A40" s="23"/>
      <c r="B40" s="23"/>
      <c r="C40" s="23"/>
      <c r="D40" s="23"/>
      <c r="E40" s="223" t="s">
        <v>763</v>
      </c>
      <c r="F40" s="898">
        <f>COUNTIFS(J2:J6,E40)</f>
        <v>0</v>
      </c>
      <c r="G40" s="23"/>
      <c r="H40" s="222" t="s">
        <v>782</v>
      </c>
      <c r="I40" s="896">
        <f>IFERROR(GETPIVOTDATA("CABLE TYPE",$K$40,"CABLE TYPE","10m Wall Box Cable"),0)</f>
        <v>0</v>
      </c>
      <c r="J40" s="23"/>
      <c r="K40" s="313" t="s">
        <v>550</v>
      </c>
      <c r="L40" t="s">
        <v>594</v>
      </c>
      <c r="M40"/>
      <c r="N40" s="23"/>
      <c r="O40" s="23"/>
      <c r="P40"/>
      <c r="Q40" s="23"/>
      <c r="R40" s="23"/>
      <c r="S40" s="23"/>
    </row>
    <row r="41" spans="1:19" s="219" customFormat="1">
      <c r="A41" s="23"/>
      <c r="B41" s="23"/>
      <c r="C41" s="23"/>
      <c r="D41" s="23"/>
      <c r="E41" s="223" t="s">
        <v>764</v>
      </c>
      <c r="F41" s="898">
        <f>COUNTIFS(J2:J6,E41)</f>
        <v>0</v>
      </c>
      <c r="G41" s="23"/>
      <c r="H41" s="324" t="s">
        <v>783</v>
      </c>
      <c r="I41" s="903">
        <f>IFERROR(GETPIVOTDATA("CABLE TYPE",$K$40,"CABLE TYPE","30m Wall Box Cable"),0)</f>
        <v>0</v>
      </c>
      <c r="J41" s="23"/>
      <c r="K41" s="314" t="s">
        <v>610</v>
      </c>
      <c r="L41" s="1218"/>
      <c r="M41"/>
      <c r="N41" s="23"/>
      <c r="O41" s="23"/>
      <c r="P41"/>
      <c r="Q41" s="23"/>
      <c r="R41" s="23"/>
      <c r="S41" s="23"/>
    </row>
    <row r="42" spans="1:19" s="219" customFormat="1">
      <c r="A42" s="23"/>
      <c r="B42" s="23"/>
      <c r="C42" s="23"/>
      <c r="D42" s="23"/>
      <c r="E42" s="223" t="s">
        <v>765</v>
      </c>
      <c r="F42" s="898">
        <f>COUNTIFS(J2:J6,E42)</f>
        <v>0</v>
      </c>
      <c r="G42" s="23"/>
      <c r="H42" s="324" t="s">
        <v>784</v>
      </c>
      <c r="I42" s="903">
        <f>IFERROR(GETPIVOTDATA("CABLE TYPE",$K$40,"CABLE TYPE","70m Wall Box Cable"),0)</f>
        <v>0</v>
      </c>
      <c r="J42" s="23"/>
      <c r="K42" s="314" t="s">
        <v>939</v>
      </c>
      <c r="L42" s="1218">
        <v>4</v>
      </c>
      <c r="M42"/>
      <c r="N42" s="23"/>
      <c r="O42" s="23"/>
      <c r="P42"/>
      <c r="Q42" s="23"/>
      <c r="R42" s="23"/>
      <c r="S42" s="23"/>
    </row>
    <row r="43" spans="1:19" s="219" customFormat="1" ht="15" thickBot="1">
      <c r="A43" s="23"/>
      <c r="B43" s="23"/>
      <c r="C43" s="23"/>
      <c r="D43" s="23"/>
      <c r="E43" s="223" t="s">
        <v>766</v>
      </c>
      <c r="F43" s="898">
        <f>COUNTIFS(J2:J6,E43)</f>
        <v>0</v>
      </c>
      <c r="G43" s="23"/>
      <c r="H43" s="325" t="s">
        <v>785</v>
      </c>
      <c r="I43" s="905">
        <f>IFERROR(GETPIVOTDATA("CABLE TYPE",$K$40,"CABLE TYPE","100m Wall Box Cable"),0)</f>
        <v>0</v>
      </c>
      <c r="J43" s="23"/>
      <c r="K43" s="314" t="s">
        <v>549</v>
      </c>
      <c r="L43" s="1218">
        <v>4</v>
      </c>
      <c r="M43"/>
      <c r="N43"/>
      <c r="O43"/>
      <c r="P43"/>
      <c r="Q43" s="23"/>
      <c r="R43" s="23"/>
      <c r="S43" s="23"/>
    </row>
    <row r="44" spans="1:19" s="219" customFormat="1" ht="15" thickBot="1">
      <c r="A44" s="23"/>
      <c r="B44" s="23"/>
      <c r="C44" s="23"/>
      <c r="D44" s="23"/>
      <c r="E44" s="225" t="s">
        <v>767</v>
      </c>
      <c r="F44" s="901">
        <f>COUNTIFS(J2:J6,E44)</f>
        <v>0</v>
      </c>
      <c r="G44" s="23"/>
      <c r="H44" s="23"/>
      <c r="I44" s="328">
        <f>(I40*10)+(I41*30)+(I42*70)+(I43*100)</f>
        <v>0</v>
      </c>
      <c r="J44" s="23"/>
      <c r="K44"/>
      <c r="L44"/>
      <c r="M44"/>
      <c r="N44"/>
      <c r="O44"/>
      <c r="P44"/>
      <c r="Q44" s="23"/>
      <c r="R44" s="23"/>
      <c r="S44" s="23"/>
    </row>
    <row r="45" spans="1:19" s="219" customFormat="1" ht="15" thickBot="1">
      <c r="A45" s="23"/>
      <c r="B45" s="23"/>
      <c r="C45" s="23"/>
      <c r="D45" s="23"/>
      <c r="E45" s="23"/>
      <c r="F45" s="23"/>
      <c r="G45" s="23"/>
      <c r="H45" s="23"/>
      <c r="I45" s="23"/>
      <c r="J45" s="23"/>
      <c r="K45"/>
      <c r="L45"/>
      <c r="M45"/>
      <c r="N45"/>
      <c r="O45"/>
      <c r="P45"/>
      <c r="Q45" s="23"/>
      <c r="R45" s="23"/>
      <c r="S45" s="23"/>
    </row>
    <row r="46" spans="1:19" s="219" customFormat="1" ht="15" thickBot="1">
      <c r="A46" s="23"/>
      <c r="B46" s="23"/>
      <c r="C46" s="23"/>
      <c r="D46" s="23"/>
      <c r="E46" s="23"/>
      <c r="F46" s="23"/>
      <c r="G46" s="23"/>
      <c r="H46" s="222" t="s">
        <v>1249</v>
      </c>
      <c r="I46" s="896">
        <f>IFERROR(GETPIVOTDATA("Sum of DISTANCE",$K$29,"SUB DUCT","EXISTING DUCTING"),0)</f>
        <v>0</v>
      </c>
      <c r="J46" s="23"/>
      <c r="K46"/>
      <c r="L46"/>
      <c r="M46"/>
      <c r="N46"/>
      <c r="O46"/>
      <c r="P46"/>
      <c r="Q46" s="23"/>
      <c r="R46" s="23"/>
      <c r="S46" s="23"/>
    </row>
    <row r="47" spans="1:19" s="219" customFormat="1">
      <c r="A47" s="23"/>
      <c r="B47" s="23"/>
      <c r="C47" s="23"/>
      <c r="D47" s="23"/>
      <c r="E47" s="222" t="s">
        <v>768</v>
      </c>
      <c r="F47" s="896">
        <f>IFERROR(GETPIVOTDATA("Sum of DISTANCE",$N$29,"DUCT TYPE","Direct Buried"),0)</f>
        <v>0</v>
      </c>
      <c r="G47" s="23"/>
      <c r="H47" s="330" t="s">
        <v>786</v>
      </c>
      <c r="I47" s="902">
        <f>IFERROR(GETPIVOTDATA("Sum of DISTANCE",$K$29,"SUB DUCT","14/10-1 Way"),0)+IFERROR((GETPIVOTDATA("Sum of DISTANCE",$K$29,"SUB DUCT","14/10-1 Way")*5%),0)</f>
        <v>57.75</v>
      </c>
      <c r="J47" s="23"/>
      <c r="K47"/>
      <c r="L47"/>
      <c r="M47"/>
      <c r="N47"/>
      <c r="O47"/>
      <c r="P47"/>
      <c r="Q47" s="23"/>
      <c r="R47" s="23"/>
      <c r="S47" s="23"/>
    </row>
    <row r="48" spans="1:19" s="219" customFormat="1">
      <c r="A48" s="23"/>
      <c r="B48" s="23"/>
      <c r="C48" s="23"/>
      <c r="D48" s="23"/>
      <c r="E48" s="330" t="s">
        <v>832</v>
      </c>
      <c r="F48" s="902">
        <f>IFERROR(GETPIVOTDATA("Sum of DISTANCE",$N$29,"DUCT TYPE","AERIAL"),0)</f>
        <v>0</v>
      </c>
      <c r="G48" s="23"/>
      <c r="H48" s="487" t="s">
        <v>787</v>
      </c>
      <c r="I48" s="906">
        <f>IFERROR(GETPIVOTDATA("Sum of DISTANCE",$K$29,"SUB DUCT","14/10-2 Way"),0)+IFERROR((GETPIVOTDATA("Sum of DISTANCE",$K$29,"SUB DUCT","14/10-2 Way")*5%),0)</f>
        <v>0</v>
      </c>
      <c r="J48" s="23"/>
      <c r="K48"/>
      <c r="L48"/>
      <c r="M48"/>
      <c r="N48"/>
      <c r="O48"/>
      <c r="P48"/>
      <c r="Q48" s="23"/>
      <c r="R48" s="23"/>
      <c r="S48" s="23"/>
    </row>
    <row r="49" spans="1:19" s="219" customFormat="1">
      <c r="A49" s="23"/>
      <c r="B49" s="23"/>
      <c r="C49" s="23"/>
      <c r="D49" s="23"/>
      <c r="E49" s="330" t="s">
        <v>769</v>
      </c>
      <c r="F49" s="902">
        <f>IFERROR(GETPIVOTDATA("Sum of DISTANCE",$N$29,"DUCT TYPE","40mm Aggri"),0)</f>
        <v>0</v>
      </c>
      <c r="G49" s="23"/>
      <c r="H49" s="487" t="s">
        <v>788</v>
      </c>
      <c r="I49" s="906">
        <f>IFERROR(GETPIVOTDATA("Sum of DISTANCE",$K$29,"SUB DUCT","14/10-4 Way"),0)+IFERROR((GETPIVOTDATA("Sum of DISTANCE",$K$29,"SUB DUCT","14/10-4 Way")*5%),0)</f>
        <v>0</v>
      </c>
      <c r="J49" s="23"/>
      <c r="K49"/>
      <c r="L49"/>
      <c r="M49"/>
      <c r="N49"/>
      <c r="O49"/>
      <c r="P49"/>
      <c r="Q49" s="23"/>
      <c r="R49" s="23"/>
      <c r="S49" s="23"/>
    </row>
    <row r="50" spans="1:19" s="219" customFormat="1" ht="15" thickBot="1">
      <c r="A50" s="23"/>
      <c r="B50" s="23"/>
      <c r="C50" s="23"/>
      <c r="D50" s="23"/>
      <c r="E50" s="324" t="s">
        <v>770</v>
      </c>
      <c r="F50" s="903">
        <f>IFERROR(GETPIVOTDATA("Sum of DISTANCE",$N$29,"DUCT TYPE","50mm Aggri"),0)+IFERROR(GETPIVOTDATA("Sum of Slack",$N$52,"MH TYPE","New Pole 7,2m (Route Start)"),0)+IFERROR(GETPIVOTDATA("Sum of Slack",$N$52,"MH TYPE","New Pole 9m (Route Start)"),0)+IFERROR(GETPIVOTDATA("Sum of Slack",$N$52,"MH TYPE","Existing Pole (Route Start)"),0)</f>
        <v>0</v>
      </c>
      <c r="G50" s="23"/>
      <c r="H50" s="487" t="s">
        <v>789</v>
      </c>
      <c r="I50" s="906">
        <f>IFERROR(GETPIVOTDATA("Sum of DISTANCE",$K$29,"SUB DUCT","14/10-7 Way"),0)+IFERROR((GETPIVOTDATA("Sum of DISTANCE",$K$29,"SUB DUCT","14/10-7 Way")*5%),0)</f>
        <v>0</v>
      </c>
      <c r="J50" s="23"/>
      <c r="K50"/>
      <c r="L50"/>
      <c r="M50"/>
      <c r="N50"/>
      <c r="O50"/>
      <c r="P50"/>
      <c r="Q50" s="23"/>
      <c r="R50" s="23"/>
      <c r="S50" s="23"/>
    </row>
    <row r="51" spans="1:19" s="219" customFormat="1" ht="15" thickBot="1">
      <c r="A51" s="23"/>
      <c r="B51" s="23"/>
      <c r="C51" s="23"/>
      <c r="D51" s="23"/>
      <c r="E51" s="324" t="s">
        <v>771</v>
      </c>
      <c r="F51" s="903">
        <f>IFERROR(GETPIVOTDATA("Sum of DISTANCE",$N$29,"DUCT TYPE","110mm HDPE pipe"),0)</f>
        <v>0</v>
      </c>
      <c r="G51" s="23"/>
      <c r="H51" s="487" t="s">
        <v>790</v>
      </c>
      <c r="I51" s="906">
        <f>IFERROR(GETPIVOTDATA("Sum of DISTANCE",$K$29,"SUB DUCT","12/10-2 Way"),0)+IFERROR((GETPIVOTDATA("Sum of DISTANCE",$K$29,"SUB DUCT","12/10-2 Way")*5%),0)</f>
        <v>0</v>
      </c>
      <c r="J51" s="23"/>
      <c r="K51" s="1185" t="s">
        <v>627</v>
      </c>
      <c r="L51" s="1186"/>
      <c r="M51" s="23"/>
      <c r="N51" s="1185" t="s">
        <v>1187</v>
      </c>
      <c r="O51" s="1186"/>
      <c r="P51"/>
      <c r="Q51" s="23"/>
      <c r="R51" s="23"/>
      <c r="S51" s="23"/>
    </row>
    <row r="52" spans="1:19">
      <c r="E52" s="331" t="s">
        <v>772</v>
      </c>
      <c r="F52" s="904">
        <f>IFERROR(GETPIVOTDATA("Sum of DISTANCE",$N$29,"DUCT TYPE","110MM DRILL PIPE"),0)</f>
        <v>0</v>
      </c>
      <c r="H52" s="487" t="s">
        <v>791</v>
      </c>
      <c r="I52" s="906">
        <f>IFERROR(GETPIVOTDATA("Sum of DISTANCE",$K$29,"SUB DUCT","12/10-4 Way"),0)+IFERROR((GETPIVOTDATA("Sum of DISTANCE",$K$29,"SUB DUCT","12/10-4 Way")*5%),0)</f>
        <v>0</v>
      </c>
      <c r="K52" s="313" t="s">
        <v>550</v>
      </c>
      <c r="L52" t="s">
        <v>551</v>
      </c>
      <c r="N52" s="313" t="s">
        <v>550</v>
      </c>
      <c r="O52" t="s">
        <v>552</v>
      </c>
      <c r="P52"/>
    </row>
    <row r="53" spans="1:19">
      <c r="E53" s="331" t="s">
        <v>773</v>
      </c>
      <c r="F53" s="904">
        <f>IFERROR(GETPIVOTDATA("Sum of DISTANCE",$N$29,"DUCT TYPE","50mm Bosal"),0)</f>
        <v>0</v>
      </c>
      <c r="H53" s="886" t="s">
        <v>792</v>
      </c>
      <c r="I53" s="899">
        <f>IFERROR(GETPIVOTDATA("Sum of DISTANCE",$K$29,"SUB DUCT","12/10-7 Way"),0)+IFERROR((GETPIVOTDATA("Sum of DISTANCE",$K$29,"SUB DUCT","12/10-7 Way")*5%),0)</f>
        <v>0</v>
      </c>
      <c r="K53" s="314" t="s">
        <v>610</v>
      </c>
      <c r="L53" s="1217">
        <v>55</v>
      </c>
      <c r="N53" s="314" t="s">
        <v>610</v>
      </c>
      <c r="O53" s="1217">
        <v>25</v>
      </c>
      <c r="P53"/>
    </row>
    <row r="54" spans="1:19">
      <c r="E54" s="331" t="s">
        <v>774</v>
      </c>
      <c r="F54" s="904">
        <f>IFERROR(GETPIVOTDATA("Sum of DISTANCE",$N$29,"DUCT TYPE","Existing Duct"),0)</f>
        <v>0</v>
      </c>
      <c r="H54" s="330" t="s">
        <v>1248</v>
      </c>
      <c r="I54" s="902">
        <f>IFERROR(GETPIVOTDATA("Sum of DISTANCE",$K$29,"SUB DUCT","DIRECT"),0)</f>
        <v>0</v>
      </c>
      <c r="K54" s="314" t="s">
        <v>549</v>
      </c>
      <c r="L54" s="1217">
        <v>55</v>
      </c>
      <c r="N54" s="314" t="s">
        <v>549</v>
      </c>
      <c r="O54" s="1217">
        <v>25</v>
      </c>
      <c r="P54"/>
    </row>
    <row r="55" spans="1:19" ht="15" thickBot="1">
      <c r="E55" s="436" t="s">
        <v>775</v>
      </c>
      <c r="F55" s="904">
        <f>IFERROR(GETPIVOTDATA("Sum of DISTANCE",$N$29,"DUCT TYPE","25mm Sprague"),0)</f>
        <v>0</v>
      </c>
      <c r="H55" s="1000" t="s">
        <v>832</v>
      </c>
      <c r="I55" s="1001">
        <f>IFERROR(GETPIVOTDATA("Sum of DISTANCE",$K$29,"SUB DUCT","AERIAL"),0)+IFERROR((GETPIVOTDATA("Sum of DISTANCE",$K$29,"SUB DUCT","AERIAL")*10%),0)</f>
        <v>0</v>
      </c>
      <c r="K55"/>
      <c r="L55"/>
      <c r="N55"/>
      <c r="O55"/>
      <c r="P55"/>
    </row>
    <row r="56" spans="1:19">
      <c r="E56" s="436" t="s">
        <v>776</v>
      </c>
      <c r="F56" s="904">
        <f>IFERROR(GETPIVOTDATA("Sum of DISTANCE",$N$29,"DUCT TYPE","50mm Sprague"),0)</f>
        <v>0</v>
      </c>
      <c r="K56"/>
      <c r="L56"/>
      <c r="N56"/>
      <c r="O56"/>
      <c r="P56"/>
    </row>
    <row r="57" spans="1:19" ht="15" thickBot="1">
      <c r="E57" s="436" t="s">
        <v>777</v>
      </c>
      <c r="F57" s="904">
        <f>IFERROR(GETPIVOTDATA("Sum of DISTANCE",$N$29,"DUCT TYPE","25mm PVC"),0)</f>
        <v>49</v>
      </c>
      <c r="K57"/>
      <c r="L57"/>
      <c r="N57"/>
      <c r="O57"/>
      <c r="P57"/>
    </row>
    <row r="58" spans="1:19">
      <c r="E58" s="436" t="s">
        <v>778</v>
      </c>
      <c r="F58" s="904">
        <f>IFERROR(GETPIVOTDATA("Sum of DISTANCE",$N$29,"DUCT TYPE","50mm PVC"),0)</f>
        <v>0</v>
      </c>
      <c r="H58" s="222" t="s">
        <v>1244</v>
      </c>
      <c r="I58" s="896">
        <f>IFERROR(GETPIVOTDATA("Sum of DISTANCE",$K$52,"TRENCH TYPE","IN BUILDING"),0)</f>
        <v>0</v>
      </c>
      <c r="K58"/>
      <c r="L58"/>
    </row>
    <row r="59" spans="1:19">
      <c r="E59" s="436" t="s">
        <v>911</v>
      </c>
      <c r="F59" s="904">
        <f>IFERROR(GETPIVOTDATA("Sum of DISTANCE",$N$29,"DUCT TYPE","TRUNKING 16x16"),0)</f>
        <v>0</v>
      </c>
      <c r="H59" s="330" t="s">
        <v>793</v>
      </c>
      <c r="I59" s="902">
        <f>IFERROR(GETPIVOTDATA("Sum of DISTANCE",$K$52,"TRENCH TYPE","Soil"),0)</f>
        <v>0</v>
      </c>
    </row>
    <row r="60" spans="1:19">
      <c r="E60" s="436" t="s">
        <v>912</v>
      </c>
      <c r="F60" s="904">
        <f>IFERROR(GETPIVOTDATA("Sum of DISTANCE",$N$29,"DUCT TYPE","TRUNKING 25x25"),0)</f>
        <v>3</v>
      </c>
      <c r="H60" s="330" t="s">
        <v>832</v>
      </c>
      <c r="I60" s="902">
        <f>IFERROR(GETPIVOTDATA("Sum of DISTANCE",$K$52,"TRENCH TYPE","AERIAL"),0)</f>
        <v>0</v>
      </c>
    </row>
    <row r="61" spans="1:19">
      <c r="E61" s="436" t="s">
        <v>913</v>
      </c>
      <c r="F61" s="904">
        <f>IFERROR(GETPIVOTDATA("Sum of DISTANCE",$N$29,"DUCT TYPE","TRUNKING 40x40"),0)</f>
        <v>0</v>
      </c>
      <c r="H61" s="324" t="s">
        <v>794</v>
      </c>
      <c r="I61" s="903">
        <f>IFERROR(GETPIVOTDATA("Sum of DISTANCE",$K$52,"TRENCH TYPE","DW Paving"),0)</f>
        <v>0</v>
      </c>
    </row>
    <row r="62" spans="1:19">
      <c r="E62" s="436" t="s">
        <v>910</v>
      </c>
      <c r="F62" s="904">
        <f>IFERROR(GETPIVOTDATA("Sum of DISTANCE",$N$29,"DUCT TYPE","EXISTING TRUNKING"),0)</f>
        <v>0</v>
      </c>
      <c r="H62" s="324" t="s">
        <v>795</v>
      </c>
      <c r="I62" s="903">
        <f>IFERROR(GETPIVOTDATA("Sum of DISTANCE",$K$52,"TRENCH TYPE","DW Asphalt"),0)</f>
        <v>0</v>
      </c>
    </row>
    <row r="63" spans="1:19">
      <c r="E63" s="436" t="s">
        <v>779</v>
      </c>
      <c r="F63" s="904">
        <f>IFERROR(GETPIVOTDATA("Sum of DISTANCE",$N$29,"DUCT TYPE","Existing Cable Tray"),0)</f>
        <v>0</v>
      </c>
      <c r="H63" s="324" t="s">
        <v>796</v>
      </c>
      <c r="I63" s="903">
        <f>IFERROR(GETPIVOTDATA("Sum of DISTANCE",$K$52,"TRENCH TYPE","RC Drill"),0)</f>
        <v>0</v>
      </c>
    </row>
    <row r="64" spans="1:19">
      <c r="E64" s="436" t="s">
        <v>780</v>
      </c>
      <c r="F64" s="904">
        <f>IFERROR(GETPIVOTDATA("Sum of DISTANCE",$N$29,"DUCT TYPE","Cable Tray"),0)</f>
        <v>0</v>
      </c>
      <c r="H64" s="324" t="s">
        <v>797</v>
      </c>
      <c r="I64" s="903">
        <f>IFERROR(GETPIVOTDATA("Sum of DISTANCE",$K$52,"TRENCH TYPE","DW Drill"),0)</f>
        <v>0</v>
      </c>
    </row>
    <row r="65" spans="5:9">
      <c r="E65" s="331" t="s">
        <v>158</v>
      </c>
      <c r="F65" s="904">
        <f>IFERROR(GETPIVOTDATA("Sum of DISTANCE",$N$29,"DUCT TYPE","Sewer"),0)</f>
        <v>0</v>
      </c>
      <c r="H65" s="324" t="s">
        <v>798</v>
      </c>
      <c r="I65" s="903">
        <f>IFERROR(GETPIVOTDATA("Sum of DISTANCE",$K$52,"TRENCH TYPE","Tar Cut"),0)</f>
        <v>0</v>
      </c>
    </row>
    <row r="66" spans="5:9">
      <c r="E66" s="331" t="s">
        <v>759</v>
      </c>
      <c r="F66" s="904">
        <f>IFERROR(GETPIVOTDATA("Sum of DISTANCE",$N$29,"DUCT TYPE","Stormwater"),0)</f>
        <v>0</v>
      </c>
      <c r="H66" s="324" t="s">
        <v>799</v>
      </c>
      <c r="I66" s="903">
        <f>IFERROR(GETPIVOTDATA("Sum of DISTANCE",$K$52,"TRENCH TYPE","Paving"),0)</f>
        <v>0</v>
      </c>
    </row>
    <row r="67" spans="5:9" ht="15" thickBot="1">
      <c r="E67" s="325" t="s">
        <v>781</v>
      </c>
      <c r="F67" s="905">
        <f>IFERROR(GETPIVOTDATA("Sum of DISTANCE",$N$29,"DUCT TYPE","3rd Party Duct"),0)</f>
        <v>3</v>
      </c>
      <c r="H67" s="512" t="s">
        <v>877</v>
      </c>
      <c r="I67" s="903">
        <f>IFERROR(GETPIVOTDATA("Sum of DISTANCE",$K$52,"TRENCH TYPE","Landscape"),0)</f>
        <v>0</v>
      </c>
    </row>
    <row r="68" spans="5:9" ht="15" thickBot="1">
      <c r="H68" s="325" t="s">
        <v>800</v>
      </c>
      <c r="I68" s="905">
        <f>IFERROR(GETPIVOTDATA("Sum of DISTANCE",$K$52,"TRENCH TYPE","Concrete"),0)</f>
        <v>0</v>
      </c>
    </row>
  </sheetData>
  <autoFilter ref="A1:S1" xr:uid="{00000000-0009-0000-0000-000006000000}"/>
  <mergeCells count="6">
    <mergeCell ref="K51:L51"/>
    <mergeCell ref="K10:N10"/>
    <mergeCell ref="K28:L28"/>
    <mergeCell ref="K39:L39"/>
    <mergeCell ref="N28:O28"/>
    <mergeCell ref="N51:O51"/>
  </mergeCells>
  <phoneticPr fontId="139" type="noConversion"/>
  <dataValidations count="6">
    <dataValidation type="list" allowBlank="1" showInputMessage="1" showErrorMessage="1" sqref="L2:L6" xr:uid="{00000000-0002-0000-0600-000004000000}">
      <formula1>$E$47:$E$67</formula1>
    </dataValidation>
    <dataValidation type="list" allowBlank="1" showInputMessage="1" showErrorMessage="1" sqref="E2:E6" xr:uid="{00000000-0002-0000-0600-000001000000}">
      <formula1>$E$10:$E$36</formula1>
    </dataValidation>
    <dataValidation type="list" allowBlank="1" showInputMessage="1" showErrorMessage="1" sqref="K2:K6" xr:uid="{00000000-0002-0000-0600-000003000000}">
      <formula1>$H$58:$H$68</formula1>
    </dataValidation>
    <dataValidation type="list" allowBlank="1" showInputMessage="1" showErrorMessage="1" sqref="D2:D6" xr:uid="{00000000-0002-0000-0600-000002000000}">
      <formula1>$A$10:$A$30</formula1>
    </dataValidation>
    <dataValidation type="list" allowBlank="1" showInputMessage="1" showErrorMessage="1" sqref="N2:N6" xr:uid="{00000000-0002-0000-0600-000005000000}">
      <formula1>$H$10:$H$43</formula1>
    </dataValidation>
    <dataValidation type="list" allowBlank="1" showInputMessage="1" showErrorMessage="1" sqref="M2:M6" xr:uid="{00000000-0002-0000-0600-000000000000}">
      <formula1>$H$46:$H$55</formula1>
    </dataValidation>
  </dataValidations>
  <pageMargins left="0.7" right="0.7" top="0.75" bottom="0.75" header="0.3" footer="0.3"/>
  <pageSetup paperSize="8" scale="90" orientation="landscape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B2"/>
  <sheetViews>
    <sheetView workbookViewId="0">
      <selection activeCell="B3" sqref="B3"/>
    </sheetView>
  </sheetViews>
  <sheetFormatPr defaultRowHeight="14.4"/>
  <sheetData>
    <row r="2" spans="2:2">
      <c r="B2" s="24" t="s">
        <v>148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F V I k U V w N P e O j A A A A 9 Q A A A B I A H A B D b 2 5 m a W c v U G F j a 2 F n Z S 5 4 b W w g o h g A K K A U A A A A A A A A A A A A A A A A A A A A A A A A A A A A h Y 9 B D o I w F E S v Q r q n r e i C k E + J c S u J i Y k x 7 p p S o R E + h h b L 3 V x 4 J K 8 g R l F 3 L m f e W 8 z c r z f I h q Y O L r q z p s W U z C g n g U b V F g b L l P T u G M Y k E 7 C R 6 i R L H Y w y 2 m S w R U o q 5 8 4 J Y 9 5 7 6 u e 0 7 U o W c T 5 j + 3 y 9 V Z V u J P n I 5 r 8 c G r R O o t J E w O 4 1 R k Q 0 X t C Y j 5 O A T R 3 k B r 8 8 G t m T / p S w 6 m v X d 1 p o D A 9 L Y F M E 9 r 4 g H l B L A w Q U A A I A C A A V U i R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V I k U S i K R 7 g O A A A A E Q A A A B M A H A B G b 3 J t d W x h c y 9 T Z W N 0 a W 9 u M S 5 t I K I Y A C i g F A A A A A A A A A A A A A A A A A A A A A A A A A A A A C t O T S 7 J z M 9 T C I b Q h t Y A U E s B A i 0 A F A A C A A g A F V I k U V w N P e O j A A A A 9 Q A A A B I A A A A A A A A A A A A A A A A A A A A A A E N v b m Z p Z y 9 Q Y W N r Y W d l L n h t b F B L A Q I t A B Q A A g A I A B V S J F E P y u m r p A A A A O k A A A A T A A A A A A A A A A A A A A A A A O 8 A A A B b Q 2 9 u d G V u d F 9 U e X B l c 1 0 u e G 1 s U E s B A i 0 A F A A C A A g A F V I k U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O 0 8 d 2 L H z K J K t m x P V k 2 x 4 G g A A A A A A g A A A A A A A 2 Y A A M A A A A A Q A A A A 7 8 R S 7 T T o 5 V U O 1 F G S V k j C + Q A A A A A E g A A A o A A A A B A A A A D U X q 0 g y e o U f S P 9 c G Q j 4 c M y U A A A A H k 1 E z F X d + / j R A 4 j I T K 2 z Z E k B e A J m + G C r l g H 1 2 V f 9 z 8 z f o Y F b z v i M w Y f a C 8 7 k z T B F S z M Z T b t J Y L U Q h a N F l M g o w 6 g M s f V K y 9 C f I H w c Q 3 t P c d 2 F A A A A O i w M D Z m X l A 1 I r 1 f p f + p / J Y 7 v r I k < / D a t a M a s h u p > 
</file>

<file path=customXml/itemProps1.xml><?xml version="1.0" encoding="utf-8"?>
<ds:datastoreItem xmlns:ds="http://schemas.openxmlformats.org/officeDocument/2006/customXml" ds:itemID="{2022C9B2-8AF9-481F-BE84-929A16899E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</vt:i4>
      </vt:variant>
    </vt:vector>
  </HeadingPairs>
  <TitlesOfParts>
    <vt:vector size="23" baseType="lpstr">
      <vt:lpstr>EXE Dashboard</vt:lpstr>
      <vt:lpstr>Infra Build BOQ</vt:lpstr>
      <vt:lpstr>MATERIAL REQUEST</vt:lpstr>
      <vt:lpstr>FOCUS ANCILLARIES CALC</vt:lpstr>
      <vt:lpstr>FIBRE BUDGET CALC</vt:lpstr>
      <vt:lpstr>AERIAL REQUIREMENTS</vt:lpstr>
      <vt:lpstr>SPLICE PLAN</vt:lpstr>
      <vt:lpstr>ROUTE INFO</vt:lpstr>
      <vt:lpstr>OSP-ISP PLAN</vt:lpstr>
      <vt:lpstr>WAYLEAVE APPROVAL</vt:lpstr>
      <vt:lpstr>CCTV ANALYSIS</vt:lpstr>
      <vt:lpstr>PRE-CCTV MAP</vt:lpstr>
      <vt:lpstr>CIVIL SI</vt:lpstr>
      <vt:lpstr>JETTING SI</vt:lpstr>
      <vt:lpstr>DRILLING SI</vt:lpstr>
      <vt:lpstr>REINSTATEMENT SI</vt:lpstr>
      <vt:lpstr>FLOATING SI</vt:lpstr>
      <vt:lpstr>FOCUS SI</vt:lpstr>
      <vt:lpstr>SPLICING SI</vt:lpstr>
      <vt:lpstr>Master BOQ Pricing_2018-01-08</vt:lpstr>
      <vt:lpstr>Network Types</vt:lpstr>
      <vt:lpstr>'Master BOQ Pricing_2018-01-08'!_Hlk39043644</vt:lpstr>
      <vt:lpstr>'Master BOQ Pricing_2018-01-08'!_Hlk39043669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 Africa</dc:creator>
  <cp:keywords>LinkAfrica</cp:keywords>
  <cp:lastModifiedBy>Sphamandla Sokhela</cp:lastModifiedBy>
  <cp:lastPrinted>2021-10-11T09:54:34Z</cp:lastPrinted>
  <dcterms:created xsi:type="dcterms:W3CDTF">2013-02-18T15:08:29Z</dcterms:created>
  <dcterms:modified xsi:type="dcterms:W3CDTF">2023-09-05T06:22:48Z</dcterms:modified>
</cp:coreProperties>
</file>