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omments3.xml" ContentType="application/vnd.openxmlformats-officedocument.spreadsheetml.comments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omments4.xml" ContentType="application/vnd.openxmlformats-officedocument.spreadsheetml.comments+xml"/>
  <Override PartName="/xl/charts/chart5.xml" ContentType="application/vnd.openxmlformats-officedocument.drawingml.chart+xml"/>
  <Override PartName="/xl/drawings/drawing5.xml" ContentType="application/vnd.openxmlformats-officedocument.drawing+xml"/>
  <Override PartName="/xl/comments5.xml" ContentType="application/vnd.openxmlformats-officedocument.spreadsheetml.comments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drawings/drawing6.xml" ContentType="application/vnd.openxmlformats-officedocument.drawing+xml"/>
  <Override PartName="/xl/comments6.xml" ContentType="application/vnd.openxmlformats-officedocument.spreadsheetml.comments+xml"/>
  <Override PartName="/xl/charts/chart8.xml" ContentType="application/vnd.openxmlformats-officedocument.drawingml.chart+xml"/>
  <Override PartName="/xl/drawings/drawing7.xml" ContentType="application/vnd.openxmlformats-officedocument.drawing+xml"/>
  <Override PartName="/xl/comments7.xml" ContentType="application/vnd.openxmlformats-officedocument.spreadsheetml.comments+xml"/>
  <Override PartName="/xl/charts/chart9.xml" ContentType="application/vnd.openxmlformats-officedocument.drawingml.chart+xml"/>
  <Override PartName="/xl/drawings/drawing8.xml" ContentType="application/vnd.openxmlformats-officedocument.drawing+xml"/>
  <Override PartName="/xl/comments8.xml" ContentType="application/vnd.openxmlformats-officedocument.spreadsheetml.comments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drawings/drawing9.xml" ContentType="application/vnd.openxmlformats-officedocument.drawing+xml"/>
  <Override PartName="/xl/comments9.xml" ContentType="application/vnd.openxmlformats-officedocument.spreadsheetml.comments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drawings/drawing10.xml" ContentType="application/vnd.openxmlformats-officedocument.drawing+xml"/>
  <Override PartName="/xl/comments10.xml" ContentType="application/vnd.openxmlformats-officedocument.spreadsheetml.comments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eeta\Downloads\"/>
    </mc:Choice>
  </mc:AlternateContent>
  <xr:revisionPtr revIDLastSave="0" documentId="8_{A307C1D0-D9E1-45C4-9352-85AA4EBDEC47}" xr6:coauthVersionLast="47" xr6:coauthVersionMax="47" xr10:uidLastSave="{00000000-0000-0000-0000-000000000000}"/>
  <bookViews>
    <workbookView xWindow="-110" yWindow="-110" windowWidth="19420" windowHeight="10300" firstSheet="6" activeTab="6" xr2:uid="{00178F58-F9AC-4AD6-8991-DB10D50DA492}"/>
  </bookViews>
  <sheets>
    <sheet name="Sensitivity Report 1" sheetId="30" state="hidden" r:id="rId1"/>
    <sheet name="Sensitivity Report 3" sheetId="32" state="hidden" r:id="rId2"/>
    <sheet name="LP" sheetId="10" state="hidden" r:id="rId3"/>
    <sheet name="STS_5" sheetId="18" state="hidden" r:id="rId4"/>
    <sheet name="LP_Dummy" sheetId="29" state="hidden" r:id="rId5"/>
    <sheet name="Sensitivity Report 2" sheetId="31" state="hidden" r:id="rId6"/>
    <sheet name="Linear Programming model" sheetId="24" r:id="rId7"/>
    <sheet name="Sensitivity Report" sheetId="25" r:id="rId8"/>
    <sheet name="1 way Solver table" sheetId="27" r:id="rId9"/>
    <sheet name="2 Way Solver table" sheetId="28" r:id="rId10"/>
    <sheet name="ILP" sheetId="4" state="hidden" r:id="rId11"/>
    <sheet name="ILP_1S" sheetId="22" state="hidden" r:id="rId12"/>
    <sheet name="ILP_2S" sheetId="23" state="hidden" r:id="rId13"/>
    <sheet name="Sensitivity Report ORG " sheetId="7" state="hidden" r:id="rId14"/>
    <sheet name="OG_STS" sheetId="8" state="veryHidden" r:id="rId15"/>
    <sheet name="STS_1" sheetId="9" state="hidden" r:id="rId16"/>
    <sheet name="LP__STS" sheetId="26" state="veryHidden" r:id="rId17"/>
    <sheet name="dummy_STS" sheetId="11" state="veryHidden" r:id="rId18"/>
    <sheet name="LP_1way" sheetId="12" state="hidden" r:id="rId19"/>
    <sheet name="STS_2" sheetId="13" state="hidden" r:id="rId20"/>
    <sheet name="STS_3" sheetId="14" state="hidden" r:id="rId21"/>
    <sheet name="STS_4" sheetId="15" state="hidden" r:id="rId22"/>
    <sheet name="LP_STS" sheetId="17" state="veryHidden" r:id="rId23"/>
    <sheet name="ILP_STS" sheetId="20" state="veryHidden" r:id="rId24"/>
  </sheets>
  <definedNames>
    <definedName name="ChartData" localSheetId="8">'1 way Solver table'!$K$5:$K$25</definedName>
    <definedName name="ChartData" localSheetId="11">ILP_1S!$K$5:$K$25</definedName>
    <definedName name="ChartData" localSheetId="18">LP_1way!$K$5:$K$35</definedName>
    <definedName name="ChartData" localSheetId="15">STS_1!$K$5:$K$15</definedName>
    <definedName name="ChartData" localSheetId="3">STS_5!$K$5:$K$25</definedName>
    <definedName name="ChartData1" localSheetId="9">'2 Way Solver table'!$N$5:$N$15</definedName>
    <definedName name="ChartData1" localSheetId="12">ILP_2S!$S$5:$S$20</definedName>
    <definedName name="ChartData1" localSheetId="19">STS_2!$N$5:$N$15</definedName>
    <definedName name="ChartData1" localSheetId="20">STS_3!$N$5:$N$15</definedName>
    <definedName name="ChartData1" localSheetId="21">STS_4!$S$5:$S$20</definedName>
    <definedName name="ChartData2" localSheetId="9">'2 Way Solver table'!$R$5:$R$25</definedName>
    <definedName name="ChartData2" localSheetId="12">ILP_2S!$W$5:$W$25</definedName>
    <definedName name="ChartData2" localSheetId="19">STS_2!$R$5:$R$25</definedName>
    <definedName name="ChartData2" localSheetId="20">STS_3!$R$5:$R$25</definedName>
    <definedName name="ChartData2" localSheetId="21">STS_4!$W$5:$W$25</definedName>
    <definedName name="InputValues" localSheetId="8">'1 way Solver table'!$A$5:$A$25</definedName>
    <definedName name="InputValues" localSheetId="11">ILP_1S!$A$5:$A$25</definedName>
    <definedName name="InputValues" localSheetId="18">LP_1way!$A$5:$A$35</definedName>
    <definedName name="InputValues" localSheetId="15">STS_1!$A$5:$A$15</definedName>
    <definedName name="InputValues" localSheetId="3">STS_5!$A$5:$A$25</definedName>
    <definedName name="InputValues1" localSheetId="9">'2 Way Solver table'!$A$5:$A$25</definedName>
    <definedName name="InputValues1" localSheetId="12">ILP_2S!$A$5:$A$25</definedName>
    <definedName name="InputValues1" localSheetId="19">STS_2!$A$5:$A$25</definedName>
    <definedName name="InputValues1" localSheetId="20">STS_3!$A$5:$A$25</definedName>
    <definedName name="InputValues1" localSheetId="21">STS_4!$A$5:$A$25</definedName>
    <definedName name="InputValues2" localSheetId="9">'2 Way Solver table'!$B$4:$L$4</definedName>
    <definedName name="InputValues2" localSheetId="12">ILP_2S!$B$4:$Q$4</definedName>
    <definedName name="InputValues2" localSheetId="19">STS_2!$B$4:$L$4</definedName>
    <definedName name="InputValues2" localSheetId="20">STS_3!$B$4:$L$4</definedName>
    <definedName name="InputValues2" localSheetId="21">STS_4!$B$4:$Q$4</definedName>
    <definedName name="OutputAddresses" localSheetId="8">'1 way Solver table'!$B$4:$F$4</definedName>
    <definedName name="OutputAddresses" localSheetId="9">'2 Way Solver table'!$AZ$2:$AZ$7</definedName>
    <definedName name="OutputAddresses" localSheetId="11">ILP_1S!$B$4:$F$4</definedName>
    <definedName name="OutputAddresses" localSheetId="12">ILP_2S!$AZ$2:$AZ$6</definedName>
    <definedName name="OutputAddresses" localSheetId="18">LP_1way!$B$4:$G$4</definedName>
    <definedName name="OutputAddresses" localSheetId="15">STS_1!$B$4:$C$4</definedName>
    <definedName name="OutputAddresses" localSheetId="19">STS_2!$AZ$2:$AZ$6</definedName>
    <definedName name="OutputAddresses" localSheetId="20">STS_3!$AZ$2:$AZ$6</definedName>
    <definedName name="OutputAddresses" localSheetId="21">STS_4!$AZ$2:$AZ$6</definedName>
    <definedName name="OutputAddresses" localSheetId="3">STS_5!$B$4:$F$4</definedName>
    <definedName name="OutputValues" localSheetId="8">'1 way Solver table'!$B$5:$F$25</definedName>
    <definedName name="OutputValues" localSheetId="11">ILP_1S!$B$5:$F$25</definedName>
    <definedName name="OutputValues" localSheetId="18">LP_1way!$B$5:$G$35</definedName>
    <definedName name="OutputValues" localSheetId="15">STS_1!$B$5:$C$15</definedName>
    <definedName name="OutputValues" localSheetId="3">STS_5!$B$5:$F$25</definedName>
    <definedName name="OutputValues_1" localSheetId="9">'2 Way Solver table'!$B$5:$L$25</definedName>
    <definedName name="OutputValues_1" localSheetId="12">ILP_2S!$B$5:$Q$25</definedName>
    <definedName name="OutputValues_1" localSheetId="19">STS_2!$B$5:$L$25</definedName>
    <definedName name="OutputValues_1" localSheetId="20">STS_3!$B$5:$L$25</definedName>
    <definedName name="OutputValues_1" localSheetId="21">STS_4!$B$5:$Q$25</definedName>
    <definedName name="OutputValues_2" localSheetId="9">'2 Way Solver table'!$B$28:$L$48</definedName>
    <definedName name="OutputValues_2" localSheetId="12">ILP_2S!$B$28:$Q$48</definedName>
    <definedName name="OutputValues_2" localSheetId="19">STS_2!$B$28:$L$48</definedName>
    <definedName name="OutputValues_2" localSheetId="20">STS_3!$B$28:$L$48</definedName>
    <definedName name="OutputValues_2" localSheetId="21">STS_4!$B$28:$Q$48</definedName>
    <definedName name="OutputValues_3" localSheetId="9">'2 Way Solver table'!$B$51:$L$71</definedName>
    <definedName name="OutputValues_3" localSheetId="12">ILP_2S!$B$51:$Q$71</definedName>
    <definedName name="OutputValues_3" localSheetId="19">STS_2!$B$51:$L$71</definedName>
    <definedName name="OutputValues_3" localSheetId="20">STS_3!$B$51:$L$71</definedName>
    <definedName name="OutputValues_3" localSheetId="21">STS_4!$B$51:$Q$71</definedName>
    <definedName name="OutputValues_4" localSheetId="9">'2 Way Solver table'!$B$74:$L$94</definedName>
    <definedName name="OutputValues_4" localSheetId="12">ILP_2S!$B$74:$Q$94</definedName>
    <definedName name="OutputValues_4" localSheetId="19">STS_2!$B$74:$L$94</definedName>
    <definedName name="OutputValues_4" localSheetId="20">STS_3!$B$74:$L$94</definedName>
    <definedName name="OutputValues_4" localSheetId="21">STS_4!$B$74:$Q$94</definedName>
    <definedName name="OutputValues_5" localSheetId="9">'2 Way Solver table'!$B$97:$L$117</definedName>
    <definedName name="OutputValues_5" localSheetId="12">ILP_2S!$B$97:$Q$117</definedName>
    <definedName name="OutputValues_5" localSheetId="19">STS_2!$B$97:$L$117</definedName>
    <definedName name="OutputValues_5" localSheetId="20">STS_3!$B$97:$L$117</definedName>
    <definedName name="OutputValues_5" localSheetId="21">STS_4!$B$97:$Q$117</definedName>
    <definedName name="OutputValues_6" localSheetId="9">'2 Way Solver table'!$B$120:$L$140</definedName>
    <definedName name="solver_adj" localSheetId="10" hidden="1">ILP!$C$4:$C$7</definedName>
    <definedName name="solver_adj" localSheetId="6" hidden="1">'Linear Programming model'!$C$4:$C$7</definedName>
    <definedName name="solver_adj" localSheetId="2" hidden="1">LP!$C$4:$C$7</definedName>
    <definedName name="solver_adj" localSheetId="4" hidden="1">LP_Dummy!$C$4:$C$7</definedName>
    <definedName name="solver_cvg" localSheetId="10" hidden="1">0.0001</definedName>
    <definedName name="solver_cvg" localSheetId="6" hidden="1">0.0001</definedName>
    <definedName name="solver_cvg" localSheetId="2" hidden="1">0.0001</definedName>
    <definedName name="solver_cvg" localSheetId="4" hidden="1">0.0001</definedName>
    <definedName name="solver_drv" localSheetId="10" hidden="1">2</definedName>
    <definedName name="solver_drv" localSheetId="6" hidden="1">2</definedName>
    <definedName name="solver_drv" localSheetId="2" hidden="1">2</definedName>
    <definedName name="solver_drv" localSheetId="4" hidden="1">2</definedName>
    <definedName name="solver_eng" localSheetId="10" hidden="1">2</definedName>
    <definedName name="solver_eng" localSheetId="6" hidden="1">2</definedName>
    <definedName name="solver_eng" localSheetId="2" hidden="1">2</definedName>
    <definedName name="solver_eng" localSheetId="4" hidden="1">2</definedName>
    <definedName name="solver_est" localSheetId="10" hidden="1">1</definedName>
    <definedName name="solver_est" localSheetId="6" hidden="1">1</definedName>
    <definedName name="solver_est" localSheetId="2" hidden="1">1</definedName>
    <definedName name="solver_est" localSheetId="4" hidden="1">1</definedName>
    <definedName name="solver_itr" localSheetId="10" hidden="1">2147483647</definedName>
    <definedName name="solver_itr" localSheetId="6" hidden="1">2147483647</definedName>
    <definedName name="solver_itr" localSheetId="2" hidden="1">2147483647</definedName>
    <definedName name="solver_itr" localSheetId="4" hidden="1">2147483647</definedName>
    <definedName name="solver_lhs1" localSheetId="10" hidden="1">ILP!$C$4:$C$7</definedName>
    <definedName name="solver_lhs1" localSheetId="6" hidden="1">'Linear Programming model'!$G$17</definedName>
    <definedName name="solver_lhs1" localSheetId="2" hidden="1">LP!$B$17</definedName>
    <definedName name="solver_lhs1" localSheetId="4" hidden="1">LP_Dummy!$G$17</definedName>
    <definedName name="solver_lhs2" localSheetId="10" hidden="1">ILP!$G$17</definedName>
    <definedName name="solver_lhs2" localSheetId="6" hidden="1">'Linear Programming model'!$G$18:$G$19</definedName>
    <definedName name="solver_lhs2" localSheetId="2" hidden="1">LP!$B$18:$B$19</definedName>
    <definedName name="solver_lhs2" localSheetId="4" hidden="1">LP_Dummy!$G$18:$G$19</definedName>
    <definedName name="solver_lhs3" localSheetId="10" hidden="1">ILP!$G$18:$G$19</definedName>
    <definedName name="solver_lhs3" localSheetId="6" hidden="1">'Linear Programming model'!$G$20</definedName>
    <definedName name="solver_lhs3" localSheetId="2" hidden="1">LP!$B$20</definedName>
    <definedName name="solver_lhs3" localSheetId="4" hidden="1">LP_Dummy!$G$20</definedName>
    <definedName name="solver_lhs4" localSheetId="10" hidden="1">ILP!$G$20</definedName>
    <definedName name="solver_lhs4" localSheetId="6" hidden="1">'Linear Programming model'!$G$21:$G$24</definedName>
    <definedName name="solver_lhs4" localSheetId="2" hidden="1">LP!$B$21:$B$24</definedName>
    <definedName name="solver_lhs4" localSheetId="4" hidden="1">LP_Dummy!$G$21:$G$24</definedName>
    <definedName name="solver_lhs5" localSheetId="10" hidden="1">ILP!$G$21:$G$24</definedName>
    <definedName name="solver_lhs5" localSheetId="6" hidden="1">'Linear Programming model'!$G$21:$G$24</definedName>
    <definedName name="solver_lhs5" localSheetId="2" hidden="1">LP!$B$21:$B$24</definedName>
    <definedName name="solver_lhs5" localSheetId="4" hidden="1">LP_Dummy!$G$21:$G$24</definedName>
    <definedName name="solver_mip" localSheetId="10" hidden="1">2147483647</definedName>
    <definedName name="solver_mip" localSheetId="6" hidden="1">2147483647</definedName>
    <definedName name="solver_mip" localSheetId="2" hidden="1">2147483647</definedName>
    <definedName name="solver_mip" localSheetId="4" hidden="1">2147483647</definedName>
    <definedName name="solver_mni" localSheetId="10" hidden="1">30</definedName>
    <definedName name="solver_mni" localSheetId="6" hidden="1">30</definedName>
    <definedName name="solver_mni" localSheetId="2" hidden="1">30</definedName>
    <definedName name="solver_mni" localSheetId="4" hidden="1">30</definedName>
    <definedName name="solver_mrt" localSheetId="10" hidden="1">0.075</definedName>
    <definedName name="solver_mrt" localSheetId="6" hidden="1">0.075</definedName>
    <definedName name="solver_mrt" localSheetId="2" hidden="1">0.075</definedName>
    <definedName name="solver_mrt" localSheetId="4" hidden="1">0.075</definedName>
    <definedName name="solver_msl" localSheetId="10" hidden="1">2</definedName>
    <definedName name="solver_msl" localSheetId="6" hidden="1">2</definedName>
    <definedName name="solver_msl" localSheetId="2" hidden="1">2</definedName>
    <definedName name="solver_msl" localSheetId="4" hidden="1">2</definedName>
    <definedName name="solver_neg" localSheetId="10" hidden="1">1</definedName>
    <definedName name="solver_neg" localSheetId="6" hidden="1">1</definedName>
    <definedName name="solver_neg" localSheetId="2" hidden="1">1</definedName>
    <definedName name="solver_neg" localSheetId="4" hidden="1">1</definedName>
    <definedName name="solver_nod" localSheetId="10" hidden="1">2147483647</definedName>
    <definedName name="solver_nod" localSheetId="6" hidden="1">2147483647</definedName>
    <definedName name="solver_nod" localSheetId="2" hidden="1">2147483647</definedName>
    <definedName name="solver_nod" localSheetId="4" hidden="1">2147483647</definedName>
    <definedName name="solver_num" localSheetId="10" hidden="1">5</definedName>
    <definedName name="solver_num" localSheetId="6" hidden="1">4</definedName>
    <definedName name="solver_num" localSheetId="2" hidden="1">4</definedName>
    <definedName name="solver_num" localSheetId="4" hidden="1">4</definedName>
    <definedName name="solver_nwt" localSheetId="10" hidden="1">1</definedName>
    <definedName name="solver_nwt" localSheetId="6" hidden="1">1</definedName>
    <definedName name="solver_nwt" localSheetId="2" hidden="1">1</definedName>
    <definedName name="solver_nwt" localSheetId="4" hidden="1">1</definedName>
    <definedName name="solver_opt" localSheetId="10" hidden="1">ILP!$B$11</definedName>
    <definedName name="solver_opt" localSheetId="6" hidden="1">'Linear Programming model'!$B$11</definedName>
    <definedName name="solver_opt" localSheetId="2" hidden="1">LP!$B$11</definedName>
    <definedName name="solver_opt" localSheetId="4" hidden="1">LP_Dummy!$B$11</definedName>
    <definedName name="solver_pre" localSheetId="10" hidden="1">0.000001</definedName>
    <definedName name="solver_pre" localSheetId="6" hidden="1">0.000001</definedName>
    <definedName name="solver_pre" localSheetId="2" hidden="1">0.000001</definedName>
    <definedName name="solver_pre" localSheetId="4" hidden="1">0.000001</definedName>
    <definedName name="solver_rbv" localSheetId="10" hidden="1">2</definedName>
    <definedName name="solver_rbv" localSheetId="6" hidden="1">2</definedName>
    <definedName name="solver_rbv" localSheetId="2" hidden="1">2</definedName>
    <definedName name="solver_rbv" localSheetId="4" hidden="1">2</definedName>
    <definedName name="solver_rel1" localSheetId="10" hidden="1">4</definedName>
    <definedName name="solver_rel1" localSheetId="6" hidden="1">2</definedName>
    <definedName name="solver_rel1" localSheetId="2" hidden="1">2</definedName>
    <definedName name="solver_rel1" localSheetId="4" hidden="1">2</definedName>
    <definedName name="solver_rel2" localSheetId="10" hidden="1">2</definedName>
    <definedName name="solver_rel2" localSheetId="6" hidden="1">3</definedName>
    <definedName name="solver_rel2" localSheetId="2" hidden="1">3</definedName>
    <definedName name="solver_rel2" localSheetId="4" hidden="1">3</definedName>
    <definedName name="solver_rel3" localSheetId="10" hidden="1">3</definedName>
    <definedName name="solver_rel3" localSheetId="6" hidden="1">1</definedName>
    <definedName name="solver_rel3" localSheetId="2" hidden="1">1</definedName>
    <definedName name="solver_rel3" localSheetId="4" hidden="1">1</definedName>
    <definedName name="solver_rel4" localSheetId="10" hidden="1">1</definedName>
    <definedName name="solver_rel4" localSheetId="6" hidden="1">1</definedName>
    <definedName name="solver_rel4" localSheetId="2" hidden="1">1</definedName>
    <definedName name="solver_rel4" localSheetId="4" hidden="1">1</definedName>
    <definedName name="solver_rel5" localSheetId="10" hidden="1">1</definedName>
    <definedName name="solver_rel5" localSheetId="6" hidden="1">1</definedName>
    <definedName name="solver_rel5" localSheetId="2" hidden="1">1</definedName>
    <definedName name="solver_rel5" localSheetId="4" hidden="1">1</definedName>
    <definedName name="solver_rhs1" localSheetId="10" hidden="1">"integer"</definedName>
    <definedName name="solver_rhs1" localSheetId="6" hidden="1">'Linear Programming model'!$I$17</definedName>
    <definedName name="solver_rhs1" localSheetId="2" hidden="1">LP!$D$17</definedName>
    <definedName name="solver_rhs1" localSheetId="4" hidden="1">LP_Dummy!$I$17</definedName>
    <definedName name="solver_rhs2" localSheetId="10" hidden="1">ILP!$I$17</definedName>
    <definedName name="solver_rhs2" localSheetId="6" hidden="1">'Linear Programming model'!$I$18:$I$19</definedName>
    <definedName name="solver_rhs2" localSheetId="2" hidden="1">LP!$D$18:$D$19</definedName>
    <definedName name="solver_rhs2" localSheetId="4" hidden="1">LP_Dummy!$I$18:$I$19</definedName>
    <definedName name="solver_rhs3" localSheetId="10" hidden="1">ILP!$I$18:$I$19</definedName>
    <definedName name="solver_rhs3" localSheetId="6" hidden="1">'Linear Programming model'!$I$20</definedName>
    <definedName name="solver_rhs3" localSheetId="2" hidden="1">LP!$D$20</definedName>
    <definedName name="solver_rhs3" localSheetId="4" hidden="1">LP_Dummy!$I$20</definedName>
    <definedName name="solver_rhs4" localSheetId="10" hidden="1">ILP!$I$20</definedName>
    <definedName name="solver_rhs4" localSheetId="6" hidden="1">'Linear Programming model'!$I$21:$I$24</definedName>
    <definedName name="solver_rhs4" localSheetId="2" hidden="1">LP!$D$21:$D$24</definedName>
    <definedName name="solver_rhs4" localSheetId="4" hidden="1">LP_Dummy!$I$21:$I$24</definedName>
    <definedName name="solver_rhs5" localSheetId="10" hidden="1">ILP!$I$21:$I$24</definedName>
    <definedName name="solver_rhs5" localSheetId="6" hidden="1">'Linear Programming model'!$I$21:$I$24</definedName>
    <definedName name="solver_rhs5" localSheetId="2" hidden="1">LP!$D$21:$D$24</definedName>
    <definedName name="solver_rhs5" localSheetId="4" hidden="1">LP_Dummy!$I$21:$I$24</definedName>
    <definedName name="solver_rlx" localSheetId="10" hidden="1">2</definedName>
    <definedName name="solver_rlx" localSheetId="6" hidden="1">2</definedName>
    <definedName name="solver_rlx" localSheetId="2" hidden="1">2</definedName>
    <definedName name="solver_rlx" localSheetId="4" hidden="1">2</definedName>
    <definedName name="solver_rsd" localSheetId="10" hidden="1">0</definedName>
    <definedName name="solver_rsd" localSheetId="6" hidden="1">0</definedName>
    <definedName name="solver_rsd" localSheetId="2" hidden="1">0</definedName>
    <definedName name="solver_rsd" localSheetId="4" hidden="1">0</definedName>
    <definedName name="solver_scl" localSheetId="10" hidden="1">2</definedName>
    <definedName name="solver_scl" localSheetId="6" hidden="1">2</definedName>
    <definedName name="solver_scl" localSheetId="2" hidden="1">2</definedName>
    <definedName name="solver_scl" localSheetId="4" hidden="1">2</definedName>
    <definedName name="solver_sho" localSheetId="10" hidden="1">2</definedName>
    <definedName name="solver_sho" localSheetId="6" hidden="1">2</definedName>
    <definedName name="solver_sho" localSheetId="2" hidden="1">2</definedName>
    <definedName name="solver_sho" localSheetId="4" hidden="1">2</definedName>
    <definedName name="solver_ssz" localSheetId="10" hidden="1">100</definedName>
    <definedName name="solver_ssz" localSheetId="6" hidden="1">100</definedName>
    <definedName name="solver_ssz" localSheetId="2" hidden="1">100</definedName>
    <definedName name="solver_ssz" localSheetId="4" hidden="1">100</definedName>
    <definedName name="solver_tim" localSheetId="10" hidden="1">2147483647</definedName>
    <definedName name="solver_tim" localSheetId="6" hidden="1">2147483647</definedName>
    <definedName name="solver_tim" localSheetId="2" hidden="1">2147483647</definedName>
    <definedName name="solver_tim" localSheetId="4" hidden="1">2147483647</definedName>
    <definedName name="solver_tol" localSheetId="10" hidden="1">0.01</definedName>
    <definedName name="solver_tol" localSheetId="6" hidden="1">0.01</definedName>
    <definedName name="solver_tol" localSheetId="2" hidden="1">0.01</definedName>
    <definedName name="solver_tol" localSheetId="4" hidden="1">0.01</definedName>
    <definedName name="solver_typ" localSheetId="10" hidden="1">2</definedName>
    <definedName name="solver_typ" localSheetId="6" hidden="1">2</definedName>
    <definedName name="solver_typ" localSheetId="2" hidden="1">2</definedName>
    <definedName name="solver_typ" localSheetId="4" hidden="1">2</definedName>
    <definedName name="solver_val" localSheetId="10" hidden="1">0</definedName>
    <definedName name="solver_val" localSheetId="6" hidden="1">0</definedName>
    <definedName name="solver_val" localSheetId="2" hidden="1">0</definedName>
    <definedName name="solver_val" localSheetId="4" hidden="1">0</definedName>
    <definedName name="solver_ver" localSheetId="10" hidden="1">3</definedName>
    <definedName name="solver_ver" localSheetId="6" hidden="1">3</definedName>
    <definedName name="solver_ver" localSheetId="2" hidden="1">3</definedName>
    <definedName name="solver_ver" localSheetId="4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19" i="25" l="1"/>
  <c r="H20" i="25"/>
  <c r="H18" i="25"/>
  <c r="G18" i="25"/>
  <c r="E18" i="25"/>
  <c r="E19" i="25"/>
  <c r="E19" i="30"/>
  <c r="D20" i="25" l="1"/>
  <c r="D19" i="25"/>
  <c r="D18" i="25"/>
  <c r="G24" i="29"/>
  <c r="B24" i="29"/>
  <c r="G23" i="29"/>
  <c r="B23" i="29"/>
  <c r="G22" i="29"/>
  <c r="B22" i="29"/>
  <c r="G21" i="29"/>
  <c r="B21" i="29"/>
  <c r="G20" i="29"/>
  <c r="G19" i="29"/>
  <c r="B19" i="29" s="1"/>
  <c r="G18" i="29"/>
  <c r="D17" i="29"/>
  <c r="B11" i="29"/>
  <c r="C8" i="29"/>
  <c r="I24" i="29" s="1"/>
  <c r="D24" i="29" s="1"/>
  <c r="R1" i="28"/>
  <c r="N1" i="28"/>
  <c r="T4" i="28"/>
  <c r="Q4" i="28"/>
  <c r="Q5" i="28" s="1"/>
  <c r="P4" i="28"/>
  <c r="M4" i="28"/>
  <c r="M5" i="28" s="1"/>
  <c r="K1" i="27"/>
  <c r="J4" i="27"/>
  <c r="K21" i="27" s="1"/>
  <c r="G24" i="24"/>
  <c r="B24" i="24" s="1"/>
  <c r="G23" i="24"/>
  <c r="B23" i="24" s="1"/>
  <c r="G22" i="24"/>
  <c r="B22" i="24" s="1"/>
  <c r="G21" i="24"/>
  <c r="B21" i="24" s="1"/>
  <c r="G20" i="24"/>
  <c r="G19" i="24"/>
  <c r="G18" i="24"/>
  <c r="D17" i="24"/>
  <c r="B11" i="24"/>
  <c r="C8" i="24"/>
  <c r="I24" i="24" s="1"/>
  <c r="D24" i="24" s="1"/>
  <c r="W1" i="23"/>
  <c r="S1" i="23"/>
  <c r="Y4" i="23"/>
  <c r="V4" i="23"/>
  <c r="V5" i="23" s="1"/>
  <c r="U4" i="23"/>
  <c r="R4" i="23"/>
  <c r="R5" i="23" s="1"/>
  <c r="K1" i="22"/>
  <c r="K25" i="22"/>
  <c r="J4" i="22"/>
  <c r="K21" i="22" s="1"/>
  <c r="K1" i="18"/>
  <c r="J4" i="18"/>
  <c r="K20" i="18" s="1"/>
  <c r="W1" i="15"/>
  <c r="S1" i="15"/>
  <c r="Y4" i="15"/>
  <c r="V4" i="15"/>
  <c r="V5" i="15" s="1"/>
  <c r="U4" i="15"/>
  <c r="R4" i="15"/>
  <c r="R5" i="15" s="1"/>
  <c r="R17" i="28"/>
  <c r="R16" i="28"/>
  <c r="R15" i="28"/>
  <c r="R14" i="28"/>
  <c r="R25" i="28"/>
  <c r="R24" i="28"/>
  <c r="R23" i="28"/>
  <c r="R22" i="28"/>
  <c r="R21" i="28"/>
  <c r="R20" i="28"/>
  <c r="R19" i="28"/>
  <c r="R18" i="28"/>
  <c r="R6" i="28"/>
  <c r="N5" i="28"/>
  <c r="W14" i="23"/>
  <c r="S18" i="23"/>
  <c r="S6" i="23"/>
  <c r="W15" i="15"/>
  <c r="S19" i="15"/>
  <c r="S7" i="15"/>
  <c r="R5" i="28"/>
  <c r="W25" i="23"/>
  <c r="W13" i="23"/>
  <c r="S17" i="23"/>
  <c r="S5" i="23"/>
  <c r="W14" i="15"/>
  <c r="S18" i="15"/>
  <c r="S6" i="15"/>
  <c r="N15" i="28"/>
  <c r="W24" i="23"/>
  <c r="W12" i="23"/>
  <c r="S16" i="23"/>
  <c r="W25" i="15"/>
  <c r="W13" i="15"/>
  <c r="S17" i="15"/>
  <c r="S5" i="15"/>
  <c r="N14" i="28"/>
  <c r="W23" i="23"/>
  <c r="W11" i="23"/>
  <c r="S15" i="23"/>
  <c r="W24" i="15"/>
  <c r="W12" i="15"/>
  <c r="S16" i="15"/>
  <c r="N13" i="28"/>
  <c r="W22" i="23"/>
  <c r="W10" i="23"/>
  <c r="S14" i="23"/>
  <c r="W23" i="15"/>
  <c r="W11" i="15"/>
  <c r="S15" i="15"/>
  <c r="R13" i="28"/>
  <c r="N12" i="28"/>
  <c r="W21" i="23"/>
  <c r="W9" i="23"/>
  <c r="S13" i="23"/>
  <c r="W22" i="15"/>
  <c r="W10" i="15"/>
  <c r="S14" i="15"/>
  <c r="R12" i="28"/>
  <c r="N11" i="28"/>
  <c r="W20" i="23"/>
  <c r="W8" i="23"/>
  <c r="S12" i="23"/>
  <c r="W21" i="15"/>
  <c r="W9" i="15"/>
  <c r="S13" i="15"/>
  <c r="R11" i="28"/>
  <c r="N10" i="28"/>
  <c r="W19" i="23"/>
  <c r="W7" i="23"/>
  <c r="S11" i="23"/>
  <c r="W20" i="15"/>
  <c r="W8" i="15"/>
  <c r="S12" i="15"/>
  <c r="R10" i="28"/>
  <c r="N9" i="28"/>
  <c r="W18" i="23"/>
  <c r="W6" i="23"/>
  <c r="S10" i="23"/>
  <c r="W19" i="15"/>
  <c r="W7" i="15"/>
  <c r="S11" i="15"/>
  <c r="R9" i="28"/>
  <c r="N8" i="28"/>
  <c r="W17" i="23"/>
  <c r="W5" i="23"/>
  <c r="S9" i="23"/>
  <c r="W18" i="15"/>
  <c r="W6" i="15"/>
  <c r="S10" i="15"/>
  <c r="R8" i="28"/>
  <c r="N7" i="28"/>
  <c r="W16" i="23"/>
  <c r="S20" i="23"/>
  <c r="S8" i="23"/>
  <c r="W17" i="15"/>
  <c r="W5" i="15"/>
  <c r="S9" i="15"/>
  <c r="R7" i="28"/>
  <c r="N6" i="28"/>
  <c r="W15" i="23"/>
  <c r="S19" i="23"/>
  <c r="S7" i="23"/>
  <c r="W16" i="15"/>
  <c r="S20" i="15"/>
  <c r="S8" i="15"/>
  <c r="K22" i="27" l="1"/>
  <c r="K25" i="27"/>
  <c r="K23" i="27"/>
  <c r="K24" i="27"/>
  <c r="K13" i="27"/>
  <c r="K10" i="27"/>
  <c r="K11" i="27"/>
  <c r="K12" i="27"/>
  <c r="K14" i="27"/>
  <c r="K15" i="27"/>
  <c r="K10" i="18"/>
  <c r="K11" i="18"/>
  <c r="K12" i="22"/>
  <c r="G17" i="29"/>
  <c r="B17" i="29" s="1"/>
  <c r="I20" i="29"/>
  <c r="D20" i="29" s="1"/>
  <c r="I23" i="29"/>
  <c r="D23" i="29" s="1"/>
  <c r="K9" i="18"/>
  <c r="I19" i="29"/>
  <c r="D19" i="29" s="1"/>
  <c r="I22" i="29"/>
  <c r="D22" i="29" s="1"/>
  <c r="K12" i="18"/>
  <c r="K11" i="22"/>
  <c r="G16" i="29"/>
  <c r="B16" i="29" s="1"/>
  <c r="K13" i="18"/>
  <c r="K14" i="18"/>
  <c r="K13" i="22"/>
  <c r="K14" i="22"/>
  <c r="K5" i="27"/>
  <c r="K17" i="27"/>
  <c r="K21" i="18"/>
  <c r="K15" i="22"/>
  <c r="K6" i="27"/>
  <c r="K18" i="27"/>
  <c r="B18" i="29"/>
  <c r="K23" i="18"/>
  <c r="K25" i="18"/>
  <c r="K10" i="22"/>
  <c r="B20" i="29"/>
  <c r="K16" i="27"/>
  <c r="K15" i="18"/>
  <c r="K22" i="18"/>
  <c r="K22" i="22"/>
  <c r="K7" i="27"/>
  <c r="K19" i="27"/>
  <c r="K23" i="22"/>
  <c r="K8" i="27"/>
  <c r="K20" i="27"/>
  <c r="K24" i="18"/>
  <c r="K24" i="22"/>
  <c r="K9" i="27"/>
  <c r="I18" i="29"/>
  <c r="D18" i="29" s="1"/>
  <c r="I21" i="29"/>
  <c r="D21" i="29" s="1"/>
  <c r="B19" i="24"/>
  <c r="I19" i="24"/>
  <c r="D19" i="24" s="1"/>
  <c r="I22" i="24"/>
  <c r="D22" i="24" s="1"/>
  <c r="G16" i="24"/>
  <c r="B16" i="24" s="1"/>
  <c r="B20" i="24"/>
  <c r="K16" i="22"/>
  <c r="K16" i="18"/>
  <c r="K5" i="22"/>
  <c r="K17" i="22"/>
  <c r="I20" i="24"/>
  <c r="D20" i="24" s="1"/>
  <c r="K18" i="18"/>
  <c r="K20" i="22"/>
  <c r="G17" i="24"/>
  <c r="B17" i="24" s="1"/>
  <c r="I23" i="24"/>
  <c r="D23" i="24" s="1"/>
  <c r="K5" i="18"/>
  <c r="K17" i="18"/>
  <c r="K6" i="22"/>
  <c r="K18" i="22"/>
  <c r="B18" i="24"/>
  <c r="K6" i="18"/>
  <c r="K7" i="22"/>
  <c r="K19" i="22"/>
  <c r="K7" i="18"/>
  <c r="K19" i="18"/>
  <c r="K8" i="22"/>
  <c r="K8" i="18"/>
  <c r="K9" i="22"/>
  <c r="I18" i="24"/>
  <c r="D18" i="24" s="1"/>
  <c r="I21" i="24"/>
  <c r="D21" i="24" s="1"/>
  <c r="R1" i="14" l="1"/>
  <c r="N1" i="14"/>
  <c r="T4" i="14"/>
  <c r="Q5" i="14"/>
  <c r="Q4" i="14"/>
  <c r="P4" i="14"/>
  <c r="M4" i="14"/>
  <c r="M5" i="14" s="1"/>
  <c r="R1" i="13"/>
  <c r="N1" i="13"/>
  <c r="T4" i="13"/>
  <c r="Q4" i="13"/>
  <c r="Q5" i="13" s="1"/>
  <c r="P4" i="13"/>
  <c r="M4" i="13"/>
  <c r="M5" i="13" s="1"/>
  <c r="B18" i="10"/>
  <c r="B19" i="10"/>
  <c r="B20" i="10"/>
  <c r="K1" i="12"/>
  <c r="J4" i="12"/>
  <c r="K27" i="12" s="1"/>
  <c r="B24" i="10"/>
  <c r="B23" i="10"/>
  <c r="B22" i="10"/>
  <c r="B21" i="10"/>
  <c r="B11" i="10"/>
  <c r="H3" i="10" s="1"/>
  <c r="C8" i="10"/>
  <c r="D24" i="10" s="1"/>
  <c r="R25" i="14"/>
  <c r="R13" i="14"/>
  <c r="N12" i="14"/>
  <c r="R21" i="13"/>
  <c r="R9" i="13"/>
  <c r="N8" i="13"/>
  <c r="R24" i="14"/>
  <c r="R12" i="14"/>
  <c r="N11" i="14"/>
  <c r="R20" i="13"/>
  <c r="R8" i="13"/>
  <c r="N7" i="13"/>
  <c r="R23" i="14"/>
  <c r="R11" i="14"/>
  <c r="N10" i="14"/>
  <c r="R19" i="13"/>
  <c r="R7" i="13"/>
  <c r="N6" i="13"/>
  <c r="R22" i="14"/>
  <c r="R10" i="14"/>
  <c r="N9" i="14"/>
  <c r="R18" i="13"/>
  <c r="R6" i="13"/>
  <c r="N5" i="13"/>
  <c r="R21" i="14"/>
  <c r="R9" i="14"/>
  <c r="N8" i="14"/>
  <c r="R17" i="13"/>
  <c r="R5" i="13"/>
  <c r="R20" i="14"/>
  <c r="R8" i="14"/>
  <c r="N7" i="14"/>
  <c r="R16" i="13"/>
  <c r="N15" i="13"/>
  <c r="R19" i="14"/>
  <c r="R7" i="14"/>
  <c r="N6" i="14"/>
  <c r="R15" i="13"/>
  <c r="N14" i="13"/>
  <c r="R18" i="14"/>
  <c r="R6" i="14"/>
  <c r="N5" i="14"/>
  <c r="R14" i="13"/>
  <c r="N13" i="13"/>
  <c r="R17" i="14"/>
  <c r="R5" i="14"/>
  <c r="R25" i="13"/>
  <c r="R13" i="13"/>
  <c r="N12" i="13"/>
  <c r="R16" i="14"/>
  <c r="N15" i="14"/>
  <c r="R24" i="13"/>
  <c r="R12" i="13"/>
  <c r="N11" i="13"/>
  <c r="R15" i="14"/>
  <c r="N14" i="14"/>
  <c r="R23" i="13"/>
  <c r="R11" i="13"/>
  <c r="N10" i="13"/>
  <c r="R14" i="14"/>
  <c r="N13" i="14"/>
  <c r="R22" i="13"/>
  <c r="R10" i="13"/>
  <c r="N9" i="13"/>
  <c r="K35" i="12" l="1"/>
  <c r="K24" i="12"/>
  <c r="K17" i="12"/>
  <c r="K29" i="12"/>
  <c r="K6" i="12"/>
  <c r="K18" i="12"/>
  <c r="K30" i="12"/>
  <c r="K7" i="12"/>
  <c r="K19" i="12"/>
  <c r="K31" i="12"/>
  <c r="K8" i="12"/>
  <c r="K20" i="12"/>
  <c r="K32" i="12"/>
  <c r="K9" i="12"/>
  <c r="K21" i="12"/>
  <c r="K33" i="12"/>
  <c r="K10" i="12"/>
  <c r="K22" i="12"/>
  <c r="K34" i="12"/>
  <c r="K11" i="12"/>
  <c r="K23" i="12"/>
  <c r="K12" i="12"/>
  <c r="K13" i="12"/>
  <c r="K25" i="12"/>
  <c r="K14" i="12"/>
  <c r="K26" i="12"/>
  <c r="K16" i="12"/>
  <c r="K28" i="12"/>
  <c r="K5" i="12"/>
  <c r="K15" i="12"/>
  <c r="D21" i="10"/>
  <c r="D23" i="10"/>
  <c r="D22" i="10"/>
  <c r="B16" i="10"/>
  <c r="B17" i="10"/>
  <c r="K1" i="9"/>
  <c r="J4" i="9"/>
  <c r="K10" i="9" s="1"/>
  <c r="D17" i="4"/>
  <c r="C8" i="4"/>
  <c r="I20" i="4" s="1"/>
  <c r="D20" i="4" s="1"/>
  <c r="G24" i="4"/>
  <c r="B24" i="4" s="1"/>
  <c r="G23" i="4"/>
  <c r="B23" i="4" s="1"/>
  <c r="G22" i="4"/>
  <c r="B22" i="4" s="1"/>
  <c r="G21" i="4"/>
  <c r="B21" i="4" s="1"/>
  <c r="G20" i="4"/>
  <c r="G19" i="4"/>
  <c r="G18" i="4"/>
  <c r="B11" i="4"/>
  <c r="K11" i="9" l="1"/>
  <c r="K12" i="9"/>
  <c r="K13" i="9"/>
  <c r="K14" i="9"/>
  <c r="K15" i="9"/>
  <c r="K5" i="9"/>
  <c r="K6" i="9"/>
  <c r="K7" i="9"/>
  <c r="K8" i="9"/>
  <c r="K9" i="9"/>
  <c r="B19" i="4"/>
  <c r="B20" i="4"/>
  <c r="I23" i="4"/>
  <c r="D23" i="4" s="1"/>
  <c r="I21" i="4"/>
  <c r="D21" i="4" s="1"/>
  <c r="I24" i="4"/>
  <c r="D24" i="4" s="1"/>
  <c r="I22" i="4"/>
  <c r="D22" i="4" s="1"/>
  <c r="I19" i="4"/>
  <c r="D19" i="4" s="1"/>
  <c r="G16" i="4"/>
  <c r="B16" i="4" s="1"/>
  <c r="G17" i="4"/>
  <c r="B17" i="4" s="1"/>
  <c r="B18" i="4"/>
  <c r="I18" i="4"/>
  <c r="D18" i="4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 RAM SAI</author>
  </authors>
  <commentList>
    <comment ref="B5" authorId="0" shapeId="0" xr:uid="{05B5BAB5-7835-43EB-A47B-8A8B4F04DFA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" authorId="0" shapeId="0" xr:uid="{98CDC8B1-E16F-4773-BACA-7F3F3576199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" authorId="0" shapeId="0" xr:uid="{1011A1F0-F198-4CFF-B091-B2D75B41743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" authorId="0" shapeId="0" xr:uid="{03825B70-CC9B-4370-992A-EF053F2E3B6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" authorId="0" shapeId="0" xr:uid="{3735C9EB-CC37-4D10-9AA3-7894B9E30EE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" authorId="0" shapeId="0" xr:uid="{9A7363C6-AC1B-4311-B5D5-508A1CD8335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" authorId="0" shapeId="0" xr:uid="{0EE262FD-2967-4570-B373-3E7B6E4E67F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" authorId="0" shapeId="0" xr:uid="{D52BA4B3-BFB1-46BF-9618-5E196F7E1A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3" authorId="0" shapeId="0" xr:uid="{78977192-42F3-49C8-A040-6EB14E3FA1C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4" authorId="0" shapeId="0" xr:uid="{8AC77951-2495-47B6-8AE8-B356181EAD5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5" authorId="0" shapeId="0" xr:uid="{5DB3A5A6-FEE0-4A17-BDF6-C89CCD92157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6" authorId="0" shapeId="0" xr:uid="{BFFE5C0B-BA34-4BBE-BF7D-6F0193F7B3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131281E1-4202-4C47-9408-D08081E8D0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8D4319D7-83FD-471B-A80F-9FF896D558E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9" authorId="0" shapeId="0" xr:uid="{2A40C316-3442-4A6C-A189-6E120CD0A2B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0" authorId="0" shapeId="0" xr:uid="{286E7D43-2016-457C-83EC-0C250AD555B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1" authorId="0" shapeId="0" xr:uid="{E15F962C-3DEE-4923-9DAB-6B673783111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2" authorId="0" shapeId="0" xr:uid="{103C98AE-35F6-47C6-AA10-6A4FB1CAFA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3" authorId="0" shapeId="0" xr:uid="{509B6E8A-3301-41F4-84BC-8609CC0BEC2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4" authorId="0" shapeId="0" xr:uid="{2636F4AB-AE8F-403D-8E19-211FD07AEB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5" authorId="0" shapeId="0" xr:uid="{602BFF8F-2DA4-45EF-82F4-E067F36C297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</commentList>
</comments>
</file>

<file path=xl/comments10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 RAM SAI</author>
  </authors>
  <commentList>
    <comment ref="B5" authorId="0" shapeId="0" xr:uid="{8161A4D6-EBA4-466F-B0AC-9349374B5F3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" authorId="0" shapeId="0" xr:uid="{BC817F93-AB75-448B-8842-D3369B235F1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" authorId="0" shapeId="0" xr:uid="{A739784C-1EF4-4F79-8D31-8BEB0A14DF7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" authorId="0" shapeId="0" xr:uid="{0F560927-0EBA-45AE-9077-ECFCE0D4351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" authorId="0" shapeId="0" xr:uid="{67BB7B04-CDF3-4025-AA4E-51A25923358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" authorId="0" shapeId="0" xr:uid="{A735D4DE-1EE2-495E-A716-C506D3397DB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" authorId="0" shapeId="0" xr:uid="{9FDCDBDE-556A-4D1E-AEA8-B74ECACD9FE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" authorId="0" shapeId="0" xr:uid="{8E9FE78D-7ECF-4304-A224-30B5AC783C8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" authorId="0" shapeId="0" xr:uid="{0B6FA0A1-8E69-4CBE-8A92-DBB8207531B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" authorId="0" shapeId="0" xr:uid="{12E14246-0BB3-4FD7-BE23-074CB7F4F4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" authorId="0" shapeId="0" xr:uid="{CF3EC480-3FD7-47A4-93A9-2F18A14426C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5" authorId="0" shapeId="0" xr:uid="{BB00ABAA-F369-47D3-B7C3-C48B7E62032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5" authorId="0" shapeId="0" xr:uid="{3364C46A-63FD-4F7A-8090-F3377EE6930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5" authorId="0" shapeId="0" xr:uid="{86D4D276-1B8F-43E4-9925-45B3CC0F267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5" authorId="0" shapeId="0" xr:uid="{C6730F4D-566B-48C9-8DDE-455A35ADFEF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5" authorId="0" shapeId="0" xr:uid="{F02D32FC-7ADF-44A0-AC97-1E4468BFA6B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" authorId="0" shapeId="0" xr:uid="{559AC371-9F0E-4ADB-B1BB-7281148C0A3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" authorId="0" shapeId="0" xr:uid="{BC9620A2-72C1-4FBE-92FA-C16AD56A0B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" authorId="0" shapeId="0" xr:uid="{F05F5156-69A9-41B1-B1D8-537ACF6C4E1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" authorId="0" shapeId="0" xr:uid="{6FF1A80E-CD27-4DA1-AC7D-8DAA7F92DC3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" authorId="0" shapeId="0" xr:uid="{CE455253-E3C7-48ED-B787-B6DCE128E25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" authorId="0" shapeId="0" xr:uid="{A32D95EC-1C64-4293-AAFC-56608DD0696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" authorId="0" shapeId="0" xr:uid="{69BE489B-CDAD-4C60-A466-8D922DCFC35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" authorId="0" shapeId="0" xr:uid="{394A99B0-DB81-4125-9CCA-C4B6BF8A916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" authorId="0" shapeId="0" xr:uid="{5BDBD517-D4F3-455B-8C3B-3E27442E73F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" authorId="0" shapeId="0" xr:uid="{59290950-BF2B-4B0C-A7C3-9F2211C6391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" authorId="0" shapeId="0" xr:uid="{8C41EFB2-E230-4A12-A239-D4CD5CFDD5B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6" authorId="0" shapeId="0" xr:uid="{393BD14D-75F8-4EF4-BA2F-223E7C792D6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6" authorId="0" shapeId="0" xr:uid="{11593341-59B1-46B4-BC24-0987F9EAA32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6" authorId="0" shapeId="0" xr:uid="{2D594947-FA56-485C-9401-CE49323EB91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6" authorId="0" shapeId="0" xr:uid="{42CB96A4-B231-4464-B6A5-047B57B15E7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6" authorId="0" shapeId="0" xr:uid="{A40C7262-227C-46B8-857A-67467373FD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" authorId="0" shapeId="0" xr:uid="{6265164B-F979-4B14-BCFC-0E61B34690F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" authorId="0" shapeId="0" xr:uid="{B4783AA2-EF3B-4A59-AAC2-AAD1940874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" authorId="0" shapeId="0" xr:uid="{2BB09ADA-194C-48C0-A0AD-61ECCEE8D13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" authorId="0" shapeId="0" xr:uid="{BD0D3BA9-A033-482B-A471-8091BCF3734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" authorId="0" shapeId="0" xr:uid="{9B811323-A776-423E-859D-9DF83B32092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" authorId="0" shapeId="0" xr:uid="{1D901DE1-2271-4B1C-90D3-2F8A29B6B69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" authorId="0" shapeId="0" xr:uid="{F00D9B81-D6E4-4B74-9E74-CEE1FF88F1E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" authorId="0" shapeId="0" xr:uid="{A99B5503-D870-4423-8812-BCCC3EF1164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" authorId="0" shapeId="0" xr:uid="{A7619E39-81EC-45AF-90E0-721F0044F66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" authorId="0" shapeId="0" xr:uid="{EA12CD96-BB75-477E-AECA-8A26C96586D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" authorId="0" shapeId="0" xr:uid="{AE3554FF-290B-4383-BE98-9F0D5B2A5B1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7" authorId="0" shapeId="0" xr:uid="{D75CC52E-1DF0-4C85-836B-0E5F195762D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7" authorId="0" shapeId="0" xr:uid="{A669E304-DAAB-4C02-93A5-0CBA2AE8F26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7" authorId="0" shapeId="0" xr:uid="{E250B438-9491-4089-A3D8-70DCEA22E07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7" authorId="0" shapeId="0" xr:uid="{8FDCB293-2875-4DFF-BF7D-3FACA4ACF6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7" authorId="0" shapeId="0" xr:uid="{A4ED10D0-4B4A-4167-9152-2752F67B809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" authorId="0" shapeId="0" xr:uid="{B206B95E-9996-484E-B62E-77BD303D0EF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" authorId="0" shapeId="0" xr:uid="{7769834C-258A-4B43-A6C4-ECEBF963D08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" authorId="0" shapeId="0" xr:uid="{AEDEA98E-BDD0-4ADE-A461-ED226CFD75F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" authorId="0" shapeId="0" xr:uid="{8DEC52E5-5AFA-43A9-B8F8-FBEA2D4531D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" authorId="0" shapeId="0" xr:uid="{AE2E6DED-33F3-43A4-8E6A-107BF4B362D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" authorId="0" shapeId="0" xr:uid="{9EF19363-FFC7-4308-AF25-1D409B3DFA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" authorId="0" shapeId="0" xr:uid="{A05AE8BB-CF5A-47B4-867C-C12C4BB51A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" authorId="0" shapeId="0" xr:uid="{078035EB-8624-44A4-8A1D-FEAE7A9CDB6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" authorId="0" shapeId="0" xr:uid="{1707A1FB-7A94-48D2-8629-9583B3708E1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" authorId="0" shapeId="0" xr:uid="{3445F2E0-078A-4697-B86E-F0E4B56B104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" authorId="0" shapeId="0" xr:uid="{607A8DA5-54BE-44D5-A622-B001AE66288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8" authorId="0" shapeId="0" xr:uid="{B6DDEB76-6D97-49D9-B27D-7C5D383E878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8" authorId="0" shapeId="0" xr:uid="{EECBD355-FD38-4B3A-9E93-E3C71883F1A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8" authorId="0" shapeId="0" xr:uid="{A3177BB8-FA1E-4736-A121-CFC42E2AA9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8" authorId="0" shapeId="0" xr:uid="{0E232902-F8B1-4BE2-841B-5449762F7CE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8" authorId="0" shapeId="0" xr:uid="{4F401446-0A17-410F-AA52-55D27A2EB8D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" authorId="0" shapeId="0" xr:uid="{83B7D747-21E1-4334-9389-12D4F3026F6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" authorId="0" shapeId="0" xr:uid="{D7492819-7FCA-4573-B880-DE7C9215C2C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" authorId="0" shapeId="0" xr:uid="{4FE82B83-B3E0-4F37-A0D1-BD31A4B31A3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" authorId="0" shapeId="0" xr:uid="{6D494C79-D469-45B8-8503-8A663991A57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" authorId="0" shapeId="0" xr:uid="{9F015FA8-3A88-4523-9439-CDC88503454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" authorId="0" shapeId="0" xr:uid="{86EF87D0-46C0-4618-8A88-B9E438A757A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" authorId="0" shapeId="0" xr:uid="{232C4FFE-4374-4893-88AD-1D5A3505924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" authorId="0" shapeId="0" xr:uid="{C869089C-B8CE-40C9-9E76-1CDDBA2E4BF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" authorId="0" shapeId="0" xr:uid="{0F8A3517-389B-4397-85CE-6A9788EF55C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" authorId="0" shapeId="0" xr:uid="{382252DD-1E35-40FA-9824-C24754DB881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" authorId="0" shapeId="0" xr:uid="{AFBA42FB-02BA-4EE3-AEA7-1CE8D755E60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9" authorId="0" shapeId="0" xr:uid="{10F27FAD-21F1-4060-9E80-5E577606D0F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9" authorId="0" shapeId="0" xr:uid="{346BDE52-8C88-4FDA-B4B0-48FCFC2E328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9" authorId="0" shapeId="0" xr:uid="{43B921A5-EA01-4640-B718-92E99F98F67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9" authorId="0" shapeId="0" xr:uid="{31D7A302-B269-4D81-93DD-F09EC1213B4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9" authorId="0" shapeId="0" xr:uid="{EEFFB77F-2A7E-4D0A-A9BC-F51FD243291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" authorId="0" shapeId="0" xr:uid="{42F064D5-321C-4911-9F2F-BC60AE57267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" authorId="0" shapeId="0" xr:uid="{F5C06DFE-2568-4998-9B1C-2A0EA34730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" authorId="0" shapeId="0" xr:uid="{4F71BBA0-DD87-4C8B-B9CA-D3B8D93207A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" authorId="0" shapeId="0" xr:uid="{1EF83F0E-8047-47A2-A92B-E00966D23C3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" authorId="0" shapeId="0" xr:uid="{94A1DFDB-974F-4B83-A94F-62C900DC540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" authorId="0" shapeId="0" xr:uid="{72A0DA0E-6795-432D-A94B-87F5FE8AE9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" authorId="0" shapeId="0" xr:uid="{82D49062-3BD0-42DF-A8B2-8FAEE42B8C9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" authorId="0" shapeId="0" xr:uid="{36CD4E06-2DB3-4F2B-A12F-433698D485B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" authorId="0" shapeId="0" xr:uid="{EF15562A-CA8E-487C-9A45-BC8B0DFD98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" authorId="0" shapeId="0" xr:uid="{C313FEA7-1A22-49B8-BDED-1BF630F207F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" authorId="0" shapeId="0" xr:uid="{29AAC4A8-0BBD-4F4C-A871-9DD72201D32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0" authorId="0" shapeId="0" xr:uid="{46ED5830-6C4D-467E-A19E-90B28FFC478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0" authorId="0" shapeId="0" xr:uid="{81228D77-5473-47BB-8E55-AFFB0671344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0" authorId="0" shapeId="0" xr:uid="{125DB828-9858-40A2-982F-122EF87826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0" authorId="0" shapeId="0" xr:uid="{EB40D260-0A04-4D27-9EFB-3D4A879439D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0" authorId="0" shapeId="0" xr:uid="{138738F9-18F5-439F-A27B-429892078C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" authorId="0" shapeId="0" xr:uid="{F892BC37-0909-4B36-8F8E-8122781F741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" authorId="0" shapeId="0" xr:uid="{12BF8EAD-91C1-410C-9C40-3A0FADB5268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" authorId="0" shapeId="0" xr:uid="{3A2C0B61-EB93-481C-ACBA-A80D57510CA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" authorId="0" shapeId="0" xr:uid="{7A6851FA-2026-440E-A2F6-18BE0DAEFB9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" authorId="0" shapeId="0" xr:uid="{0F8BDF57-E57E-4775-8681-810E09B9638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" authorId="0" shapeId="0" xr:uid="{8210DF1A-74BB-4BB3-B5F5-2DC11F28D92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" authorId="0" shapeId="0" xr:uid="{D4397EAF-7EDC-4BC1-B3F4-1F0649C49F8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" authorId="0" shapeId="0" xr:uid="{1B42B59D-B9E8-4A79-AFFA-2BAC7D575A8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" authorId="0" shapeId="0" xr:uid="{D0EC6CB9-841E-4340-8236-7E0571C7FE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" authorId="0" shapeId="0" xr:uid="{343F7061-CAFC-4037-ADAE-8C5685B316F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" authorId="0" shapeId="0" xr:uid="{DC8B0F43-D178-4ECB-AB3D-7451E39F994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1" authorId="0" shapeId="0" xr:uid="{AE718E9D-2C83-4DF1-BDF3-958E21BA255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1" authorId="0" shapeId="0" xr:uid="{8D0BFB04-E3E9-4A16-9A41-1B0DD2FAC3F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1" authorId="0" shapeId="0" xr:uid="{EE742ACE-0CB8-4279-AC1A-FD5CE5630C5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1" authorId="0" shapeId="0" xr:uid="{E5BC9EB4-1424-4D52-AD3D-325A5B3CEE8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1" authorId="0" shapeId="0" xr:uid="{0C5EA6FC-E09A-4F48-8850-3F2D1D3B5DF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" authorId="0" shapeId="0" xr:uid="{DB2FB22D-C339-4A14-8145-B88C23F2E57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2" authorId="0" shapeId="0" xr:uid="{29DE182B-71AE-49CC-B89A-7563FAEA5F9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2" authorId="0" shapeId="0" xr:uid="{06B8C4CC-E209-469D-ADF1-462091A67E3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2" authorId="0" shapeId="0" xr:uid="{C94A8F9E-A882-4C04-BB92-F143AEED398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2" authorId="0" shapeId="0" xr:uid="{331CEB66-13F2-488C-B909-F76C01E535A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2" authorId="0" shapeId="0" xr:uid="{EDECFA8B-71B7-49A7-A6D1-256F91DE3BE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2" authorId="0" shapeId="0" xr:uid="{EFF4AEE6-C623-4739-8963-DA176CA177F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2" authorId="0" shapeId="0" xr:uid="{4CD1C98A-36D8-42B3-BD43-150A6E4EF30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2" authorId="0" shapeId="0" xr:uid="{E406E7FD-A2A2-4431-BE82-A11E24F43A2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2" authorId="0" shapeId="0" xr:uid="{BF086309-2521-41DA-8DA9-F36A951CFB4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2" authorId="0" shapeId="0" xr:uid="{75EC63DF-71C7-407C-B5AA-E83D0CCACA5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2" authorId="0" shapeId="0" xr:uid="{42621F42-609D-4CC4-886A-3FAC20F8F52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2" authorId="0" shapeId="0" xr:uid="{ED43EC5B-2D70-4886-BBB2-D3D60247064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2" authorId="0" shapeId="0" xr:uid="{5DAFFFBF-38FF-4218-AFAC-ED6D9168745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2" authorId="0" shapeId="0" xr:uid="{4FE57A6D-8247-4EE7-B79D-2F5740E728C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2" authorId="0" shapeId="0" xr:uid="{513A8971-0A14-4835-9282-95D67603E0D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3" authorId="0" shapeId="0" xr:uid="{84111517-10CD-4B9B-90E4-71DB1FA27F4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3" authorId="0" shapeId="0" xr:uid="{FC0AA635-6E2E-4574-87BB-806A11F4CD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3" authorId="0" shapeId="0" xr:uid="{2F6EE252-7368-48D3-A795-905FC876265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3" authorId="0" shapeId="0" xr:uid="{797C278D-FADF-47FC-9071-61B70F8AD41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3" authorId="0" shapeId="0" xr:uid="{E3D1AB3A-ABBC-4D6C-9B8E-977E469FB97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3" authorId="0" shapeId="0" xr:uid="{2B2F011F-099A-409F-B46C-67CF871A396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3" authorId="0" shapeId="0" xr:uid="{3E2D55F6-3CF4-48D2-9276-A2A98D74B8C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3" authorId="0" shapeId="0" xr:uid="{1F092B4D-E7F9-4087-86B1-F893E59C5AD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3" authorId="0" shapeId="0" xr:uid="{71683436-F7EE-455E-83FF-BFB8C5E5832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3" authorId="0" shapeId="0" xr:uid="{C72A7F8E-305A-4E01-A966-13728B28726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3" authorId="0" shapeId="0" xr:uid="{DC7E9714-4890-4225-A1C0-60C451B670A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3" authorId="0" shapeId="0" xr:uid="{4486B286-CCFA-4ED6-B53B-5B4747CBD95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3" authorId="0" shapeId="0" xr:uid="{353A808B-7304-418E-8EB0-52FA6D18C6E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3" authorId="0" shapeId="0" xr:uid="{0FC56A9F-A556-4B8E-93EB-CA05FB1438D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3" authorId="0" shapeId="0" xr:uid="{8B793025-BBE8-4420-8767-2103C70C734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3" authorId="0" shapeId="0" xr:uid="{82853823-1FD2-48AD-ACDA-155CCC0B45E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4" authorId="0" shapeId="0" xr:uid="{74A43DAE-EF9B-446E-8883-E3A9508D821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4" authorId="0" shapeId="0" xr:uid="{B9FA62E6-A327-4397-AF8F-82E85F6178D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4" authorId="0" shapeId="0" xr:uid="{B5125B76-2A3D-49F0-88B4-C19FCB47131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4" authorId="0" shapeId="0" xr:uid="{179AF2A5-A39B-4A34-B3D9-C66FB67D01B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4" authorId="0" shapeId="0" xr:uid="{17798E1F-F16D-4A3B-BD79-6FD4F2C04C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4" authorId="0" shapeId="0" xr:uid="{CDE4ED59-9796-4DFE-A5D5-17430A193F5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4" authorId="0" shapeId="0" xr:uid="{FA6211AB-2818-43DA-8524-8217436E1FC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4" authorId="0" shapeId="0" xr:uid="{05CEADE2-DF23-439A-AE00-C515C6DB01D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4" authorId="0" shapeId="0" xr:uid="{2DD69452-364F-4AF1-945D-AE915FFED9B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4" authorId="0" shapeId="0" xr:uid="{DFA4D12A-690F-4AD0-B2AA-D9085BFE7DA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4" authorId="0" shapeId="0" xr:uid="{79D41031-8CFA-42A4-B30B-0F5B1AE3140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4" authorId="0" shapeId="0" xr:uid="{5495EB10-23F7-473D-93F2-A36EE080EF9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4" authorId="0" shapeId="0" xr:uid="{9BCD8003-8A28-4313-B7D4-91181BF3D36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4" authorId="0" shapeId="0" xr:uid="{7E833CA3-7C95-45BF-B303-C2535DBB417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4" authorId="0" shapeId="0" xr:uid="{C31D37F0-E32E-4B31-B596-EBBF677D30D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4" authorId="0" shapeId="0" xr:uid="{B79FE3AF-08C3-4BAD-BFF4-DD3BF5AB063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5" authorId="0" shapeId="0" xr:uid="{D7E7402A-0C75-40FB-AAA1-EE50E3FA9A8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5" authorId="0" shapeId="0" xr:uid="{BDCF5245-2432-4797-95D2-B39AD627F42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5" authorId="0" shapeId="0" xr:uid="{0C719CD6-4E5C-442E-98B6-6870A078072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5" authorId="0" shapeId="0" xr:uid="{3763D4FC-B395-40CA-ABCE-81ACCF14C13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5" authorId="0" shapeId="0" xr:uid="{9E990A66-7982-4077-BEE2-CB815CCBAD9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5" authorId="0" shapeId="0" xr:uid="{804C541D-9FED-44C3-ADE1-3861DCD92E6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5" authorId="0" shapeId="0" xr:uid="{68E6CEB1-B7B1-4268-B355-E42EA25D2E6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5" authorId="0" shapeId="0" xr:uid="{B9BF43F0-137C-4C2C-AD81-B0CD1A699A4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5" authorId="0" shapeId="0" xr:uid="{2F53DCD6-AF7A-4355-BA1E-22D30525566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5" authorId="0" shapeId="0" xr:uid="{08D21273-5E28-46F2-8EBD-3F33EA05F7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5" authorId="0" shapeId="0" xr:uid="{34AB80CD-34C3-4C43-9C12-5CB52762F4B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5" authorId="0" shapeId="0" xr:uid="{232D6487-2C0A-428F-A669-D6C764E7C05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5" authorId="0" shapeId="0" xr:uid="{808F48D5-9A6C-43AB-BA80-3FF41068661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5" authorId="0" shapeId="0" xr:uid="{D5D16A38-5FE3-4A6A-BE2D-A64537399C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5" authorId="0" shapeId="0" xr:uid="{6D54C700-7519-4160-ABE0-46B4C917EC3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5" authorId="0" shapeId="0" xr:uid="{461CF876-FC8D-41C2-AADA-6C655A1F68F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6" authorId="0" shapeId="0" xr:uid="{A172DC78-668A-4F62-8C84-DD2866B569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6" authorId="0" shapeId="0" xr:uid="{A77BA7FE-C50D-4167-ABD9-A81F901639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6" authorId="0" shapeId="0" xr:uid="{5DF3A216-C7CD-4EF5-B640-7532CDEA5F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6" authorId="0" shapeId="0" xr:uid="{9FBE43BA-4F6E-49B8-875A-B7D4C816CF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6" authorId="0" shapeId="0" xr:uid="{D9EA99E8-3478-4502-99B6-6D145040DC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6" authorId="0" shapeId="0" xr:uid="{B64C7F48-B64F-4F1A-AB28-6FC2E51150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6" authorId="0" shapeId="0" xr:uid="{4C97A77F-0BC5-4850-9F00-84DFBE14AE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6" authorId="0" shapeId="0" xr:uid="{D33C0CB4-E23C-4885-B464-548A91E100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6" authorId="0" shapeId="0" xr:uid="{F1EF9AD8-0CCE-435A-A8E2-90F99479EE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6" authorId="0" shapeId="0" xr:uid="{BCBE65D6-2201-4750-B31F-BADE41E47D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6" authorId="0" shapeId="0" xr:uid="{1FFD5319-9467-4B2C-BAAB-A700F17B65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6" authorId="0" shapeId="0" xr:uid="{87F9FE5C-83CF-4301-981E-4619DA7217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6" authorId="0" shapeId="0" xr:uid="{8878A100-B1A7-46A4-8D61-CEA611C78E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6" authorId="0" shapeId="0" xr:uid="{0252622D-0357-49B2-B908-EB868B3C6C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6" authorId="0" shapeId="0" xr:uid="{F012A01A-325D-4177-815D-5FADD616A4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6" authorId="0" shapeId="0" xr:uid="{A8ED51E4-5E70-49C1-B680-5B83D47377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7" authorId="0" shapeId="0" xr:uid="{C88D8B1C-5F65-472F-9714-93FDE73206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" authorId="0" shapeId="0" xr:uid="{F0932CEE-AD4E-4FC3-A10D-03FBBDCDD1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" authorId="0" shapeId="0" xr:uid="{6CE3691F-8B03-4FDF-AE5F-C23323D6E6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" authorId="0" shapeId="0" xr:uid="{D8D1C833-B5DD-4850-8E42-8BC6897E11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" authorId="0" shapeId="0" xr:uid="{895ADF72-1E28-4C87-9154-E6A503AAE9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" authorId="0" shapeId="0" xr:uid="{86B281DC-BD02-4F51-AADF-3830743669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7" authorId="0" shapeId="0" xr:uid="{C6BA3D7F-C878-4528-A2D6-330F56CBDE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7" authorId="0" shapeId="0" xr:uid="{A42397E8-1266-4532-9EA4-29AF3D4A7F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7" authorId="0" shapeId="0" xr:uid="{FA96AC74-DC57-43B5-B8EC-FB8F94D3BD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7" authorId="0" shapeId="0" xr:uid="{AB954FBD-7AE7-454C-A653-913A5893FD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7" authorId="0" shapeId="0" xr:uid="{59BC7DA2-ADA0-47C2-B933-5B26804936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7" authorId="0" shapeId="0" xr:uid="{B3DC6012-DDAA-4432-9034-9CE62CF0EE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7" authorId="0" shapeId="0" xr:uid="{C96E665C-0A7E-4AD4-B4CE-CBA53B2F53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7" authorId="0" shapeId="0" xr:uid="{67704FA2-4258-49BD-B1E7-00B23960FF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7" authorId="0" shapeId="0" xr:uid="{58328981-BD08-45A3-83D1-64C19B82E7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7" authorId="0" shapeId="0" xr:uid="{4EE26B2B-B4C3-4CD9-8DDE-444FDEEEA1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91EBAF7C-D9C1-482B-AC0B-BB873D85FD4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8" authorId="0" shapeId="0" xr:uid="{FFA6CE5E-5E87-4E59-A7DF-41F650CD10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8" authorId="0" shapeId="0" xr:uid="{F6C09C13-F343-4DFA-8158-297BCE27FDB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8" authorId="0" shapeId="0" xr:uid="{A94D7405-5352-43DA-B588-2532BA22984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8" authorId="0" shapeId="0" xr:uid="{296D015C-8057-4011-A5D9-C07830A2D82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8" authorId="0" shapeId="0" xr:uid="{BBB4EE7F-C3BA-4333-A6E4-2E10CA5B391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8" authorId="0" shapeId="0" xr:uid="{5009B25C-E88E-44DE-A77A-D276B73CFFF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8" authorId="0" shapeId="0" xr:uid="{4D91E298-17F2-49C6-8679-B764A4034CE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8" authorId="0" shapeId="0" xr:uid="{8FB4F416-1651-4DBB-91B2-0E305FEE8F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8" authorId="0" shapeId="0" xr:uid="{DBF89FD1-55EA-426B-AEDF-9CE17F7C7A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8" authorId="0" shapeId="0" xr:uid="{EA479738-60D4-4BE5-B619-E04F6195622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8" authorId="0" shapeId="0" xr:uid="{755BE47A-5242-4649-81B3-090AA84CCF5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8" authorId="0" shapeId="0" xr:uid="{FB444DEB-7184-4525-9114-6F1B1329623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8" authorId="0" shapeId="0" xr:uid="{D049199E-3AAD-4DA1-8689-10106E9F333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8" authorId="0" shapeId="0" xr:uid="{76817639-B97A-4A28-A18B-CB2E910EAB4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8" authorId="0" shapeId="0" xr:uid="{A1EAE28F-ADC9-4776-92D7-32C5A3ABFC8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9" authorId="0" shapeId="0" xr:uid="{E85E6034-56B7-4CFD-B3A3-CDF52C7BE90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9" authorId="0" shapeId="0" xr:uid="{6825AAA6-08DA-4F8D-89A1-752A5AA6C99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9" authorId="0" shapeId="0" xr:uid="{B9530582-9EE0-48C9-8A73-18BD2632992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9" authorId="0" shapeId="0" xr:uid="{71D4AEE6-B256-40BD-857D-B9B04B2A1E1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9" authorId="0" shapeId="0" xr:uid="{E0AC91EC-3848-445C-BE70-A4ECBDA5C33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9" authorId="0" shapeId="0" xr:uid="{98C0ACF6-62BE-4B2B-B122-CA2E008105B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9" authorId="0" shapeId="0" xr:uid="{3D80440E-98BE-4141-BF63-14C10176185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9" authorId="0" shapeId="0" xr:uid="{04D4A262-A92E-49A1-8AB8-8F0D118FCE7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9" authorId="0" shapeId="0" xr:uid="{16FBBBB6-1060-4730-BAB3-AE7A2FD3FA7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9" authorId="0" shapeId="0" xr:uid="{61D86387-E9E5-4630-B2C0-2C19BDF497D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9" authorId="0" shapeId="0" xr:uid="{150D17F7-A14E-4A6B-9495-A776BA4A87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9" authorId="0" shapeId="0" xr:uid="{82FDB2DD-5650-4176-9C97-F8B1AC32188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9" authorId="0" shapeId="0" xr:uid="{058272E8-B8F2-4606-9462-B4EA2765B84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9" authorId="0" shapeId="0" xr:uid="{275268BD-B16C-468A-99E8-8B2771B39A0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9" authorId="0" shapeId="0" xr:uid="{548D3751-4261-4F1D-8385-75AFA3E5AB7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9" authorId="0" shapeId="0" xr:uid="{1B0677EC-D9EE-43F8-A761-D00543E1D1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0" authorId="0" shapeId="0" xr:uid="{9E3B7DFD-2490-4A65-A170-2B5B9201BD9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0" authorId="0" shapeId="0" xr:uid="{7961FF2E-E122-4DE3-B1F7-D3BA5C680D4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0" authorId="0" shapeId="0" xr:uid="{82888E3B-376B-48E5-9BF1-65B84A1C6EB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0" authorId="0" shapeId="0" xr:uid="{1E1AC665-4FDD-474F-A6A9-B4DDB57680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0" authorId="0" shapeId="0" xr:uid="{F1B36188-2483-4181-B913-956D0D90C4D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0" authorId="0" shapeId="0" xr:uid="{6E68745D-4093-4F7B-9F80-792837E1C71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0" authorId="0" shapeId="0" xr:uid="{E9332397-F4E2-4FDA-91F5-56F21CC615A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0" authorId="0" shapeId="0" xr:uid="{D962EE32-6038-4E64-A0EB-5654C5BDD0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0" authorId="0" shapeId="0" xr:uid="{B800FF71-F707-4399-A0A5-DFC2B5C460C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0" authorId="0" shapeId="0" xr:uid="{93FE6CD8-78F3-4E0F-AB0D-A77C456263A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0" authorId="0" shapeId="0" xr:uid="{9F0A5A65-9F8E-45C6-8B92-50769B19301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20" authorId="0" shapeId="0" xr:uid="{253CF545-47FB-4EB7-AAC5-CA980B99597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20" authorId="0" shapeId="0" xr:uid="{23FD172C-8B5C-4A03-A650-11D1B60CC04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20" authorId="0" shapeId="0" xr:uid="{CD48EBD2-8357-4C99-9F62-EA00374C527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20" authorId="0" shapeId="0" xr:uid="{2369A744-62E6-4774-B379-BC42DBFD02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20" authorId="0" shapeId="0" xr:uid="{3D1C5BF4-DCCA-42DA-9595-BD49A0B66DB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1" authorId="0" shapeId="0" xr:uid="{F29B3E70-4A84-482A-9952-B0881030D47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1" authorId="0" shapeId="0" xr:uid="{2558C5ED-FD27-4BFE-BE99-F8F1C81A5C4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1" authorId="0" shapeId="0" xr:uid="{B1D6CC08-CA88-45D9-BC01-F810622B6E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1" authorId="0" shapeId="0" xr:uid="{286237DD-D97A-4235-92CA-288742B61EE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1" authorId="0" shapeId="0" xr:uid="{BD1E09E3-6A7F-476C-B8B7-D95E64155F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1" authorId="0" shapeId="0" xr:uid="{4ED300B1-991E-4AD3-8034-78456B242BE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1" authorId="0" shapeId="0" xr:uid="{795F10C8-E802-4125-AF14-CC81A39A406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1" authorId="0" shapeId="0" xr:uid="{7B39FEE1-8A05-4479-B33A-D4B7F3ED7CA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1" authorId="0" shapeId="0" xr:uid="{C8E4E792-6428-4195-9F0F-44560FF6BD2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1" authorId="0" shapeId="0" xr:uid="{0C37B617-68A9-48CA-B221-25D72D833E3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1" authorId="0" shapeId="0" xr:uid="{E1474B56-CA83-4A6C-AF49-E52C53E91E7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21" authorId="0" shapeId="0" xr:uid="{5587A7B3-4B80-4DC5-8B8F-C4B21901E8E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21" authorId="0" shapeId="0" xr:uid="{034873A0-B4BE-4B77-AE39-3261EDA97BF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21" authorId="0" shapeId="0" xr:uid="{405BB232-1594-42E5-8DCE-51DC54285DB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21" authorId="0" shapeId="0" xr:uid="{493AE562-9E80-4D6B-8217-5C6495E0EBA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21" authorId="0" shapeId="0" xr:uid="{BDB1A60B-0C12-49B7-985E-F1805AB2B03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2" authorId="0" shapeId="0" xr:uid="{7324BED7-20A6-4260-8690-0ECC9B6CD02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2" authorId="0" shapeId="0" xr:uid="{81D8D936-A17B-440E-975D-08543392B57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2" authorId="0" shapeId="0" xr:uid="{95BA3CF3-623B-4B82-AC16-006D948D74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2" authorId="0" shapeId="0" xr:uid="{C45AFC08-3A67-4F52-952E-81144607304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2" authorId="0" shapeId="0" xr:uid="{56234A5D-1B1F-4A7B-8F6E-C504C3B4F3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2" authorId="0" shapeId="0" xr:uid="{51E92C39-B09A-451E-AEE0-656EE9A91E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2" authorId="0" shapeId="0" xr:uid="{9D8D63B0-102E-4D88-B454-6C7FADA8440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2" authorId="0" shapeId="0" xr:uid="{CDFE8E8F-457A-4816-A9FC-6039FCA6771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2" authorId="0" shapeId="0" xr:uid="{A87E50DA-4994-404F-920D-CFF26996501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2" authorId="0" shapeId="0" xr:uid="{D005E2DB-32C5-4642-AF70-4EC3D9C2B0D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2" authorId="0" shapeId="0" xr:uid="{BD28CB58-1F46-4F68-997C-819B30B82E1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22" authorId="0" shapeId="0" xr:uid="{ED69F4CF-0DF8-40C7-AF15-0DD24CA920A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22" authorId="0" shapeId="0" xr:uid="{E2BE253F-7181-4D4D-B3F9-98E2D703BE5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22" authorId="0" shapeId="0" xr:uid="{7C3C3283-0FD2-438A-A6BB-8026418D58B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22" authorId="0" shapeId="0" xr:uid="{7A357482-8DA7-4FE6-B0B3-DBFDA1280C8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22" authorId="0" shapeId="0" xr:uid="{1E56E08C-A187-4F9C-BC25-C3D5B96CB94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3" authorId="0" shapeId="0" xr:uid="{1F3F6941-1E72-40EC-AC58-9F51B730581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3" authorId="0" shapeId="0" xr:uid="{FE9807D4-B63C-4BBD-A6D0-D0244BA6529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3" authorId="0" shapeId="0" xr:uid="{64B430E4-EF04-4E29-ADF9-168770252F9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3" authorId="0" shapeId="0" xr:uid="{59D32325-976F-4A7E-9EE9-84F87DF9C52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3" authorId="0" shapeId="0" xr:uid="{C66C6FAB-C4CA-45D6-9E9E-979BA180242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3" authorId="0" shapeId="0" xr:uid="{4E9EF972-84FA-478A-B344-AA31624C1EF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3" authorId="0" shapeId="0" xr:uid="{5C0A4229-D570-4286-A5CC-86C89877944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3" authorId="0" shapeId="0" xr:uid="{78522E54-CFE4-4374-85A7-B38858CBDC7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3" authorId="0" shapeId="0" xr:uid="{F487FE8E-FA1B-45D1-B776-79B6CAFBCB8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3" authorId="0" shapeId="0" xr:uid="{2EACF154-EEFE-4909-85C2-BE731B74DA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3" authorId="0" shapeId="0" xr:uid="{9BB152BC-026E-456F-8181-2EC3D8F367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23" authorId="0" shapeId="0" xr:uid="{B973E520-DEFD-461F-81B5-AB94DC5403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23" authorId="0" shapeId="0" xr:uid="{D144B70D-B074-4468-ABDB-C4ED3DE7AFF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23" authorId="0" shapeId="0" xr:uid="{AA51BC00-0828-440E-BCFF-0AAE832671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23" authorId="0" shapeId="0" xr:uid="{297A94CD-9EBB-490E-BBAB-6CBA6804533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23" authorId="0" shapeId="0" xr:uid="{C7D2C142-A9A9-455E-95A6-5219C0E1788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4" authorId="0" shapeId="0" xr:uid="{6EE78C09-E6C5-43AB-8F05-2060DD586F5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4" authorId="0" shapeId="0" xr:uid="{590631EE-D927-4EB4-A5BC-40B7FCBE212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4" authorId="0" shapeId="0" xr:uid="{73738192-0B33-4E3A-A6CF-18BE572E1F5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4" authorId="0" shapeId="0" xr:uid="{A8C1BF66-9CD3-447B-A2B8-E5161BBA198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4" authorId="0" shapeId="0" xr:uid="{61A2E402-9366-4E35-979A-7318AD18B64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4" authorId="0" shapeId="0" xr:uid="{CB953441-4A4E-4105-A548-D9C07B34CC0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4" authorId="0" shapeId="0" xr:uid="{F1892121-6C61-4872-BC5C-B4712AD6B6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4" authorId="0" shapeId="0" xr:uid="{EC9AD434-B909-4BB8-A861-E2A095BE150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4" authorId="0" shapeId="0" xr:uid="{4C4EF413-AFF4-4C65-9B44-022EBE5B00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4" authorId="0" shapeId="0" xr:uid="{C4292F20-B753-48AC-98CF-16BB14EC31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4" authorId="0" shapeId="0" xr:uid="{34C94622-D8D9-468F-8954-2386399B01E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24" authorId="0" shapeId="0" xr:uid="{64664401-EB5E-4DBA-9281-6BC0564275D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24" authorId="0" shapeId="0" xr:uid="{3D000E17-D9B2-4899-97B4-935027D7944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24" authorId="0" shapeId="0" xr:uid="{9291EFED-F64F-48A9-84BA-CF9D10CDA83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24" authorId="0" shapeId="0" xr:uid="{7D1DD4EF-630F-4CBF-ABE1-096B8DB52DF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24" authorId="0" shapeId="0" xr:uid="{BF50E0BD-7052-40D5-B5A3-FDF5DA82BCB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5" authorId="0" shapeId="0" xr:uid="{836ABBC8-0197-48FC-9CAC-D54987E156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5" authorId="0" shapeId="0" xr:uid="{CCDFC6C2-9FC6-4E58-AAE3-13ED6A588F7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5" authorId="0" shapeId="0" xr:uid="{17094AEE-DF3C-4543-BFB3-CC03D5074D2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5" authorId="0" shapeId="0" xr:uid="{6A6768EB-E594-4F8A-8A69-88E4C2A22B6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5" authorId="0" shapeId="0" xr:uid="{0DF1F999-E8B7-4055-A286-0B0A0EB2C69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5" authorId="0" shapeId="0" xr:uid="{ADC31F6A-08FE-4FE1-9F15-3FA4BF0A4C7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5" authorId="0" shapeId="0" xr:uid="{3FC0A24C-DD8C-4F85-A8D2-F4B301276E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5" authorId="0" shapeId="0" xr:uid="{BFA3BFF5-FA22-4C15-B1F1-CC92FC1C7F4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5" authorId="0" shapeId="0" xr:uid="{86D58909-1657-4F1A-A191-4BC3DF0810C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5" authorId="0" shapeId="0" xr:uid="{0F8CFB4A-8171-416C-9E91-FBB69E6802D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5" authorId="0" shapeId="0" xr:uid="{BF565A1E-8968-4B7F-9F85-117B578F918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25" authorId="0" shapeId="0" xr:uid="{5CFFC487-A8EB-4C63-8168-26C8E60E290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25" authorId="0" shapeId="0" xr:uid="{91B66ED9-7A9D-42E5-8C27-8433E0B4B9E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25" authorId="0" shapeId="0" xr:uid="{36D28036-7AB0-4764-B2DD-CFD0A0C5AE9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25" authorId="0" shapeId="0" xr:uid="{DBFAB8F7-5847-4C9A-9371-F5690AEBE9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25" authorId="0" shapeId="0" xr:uid="{0D60ED10-3F78-4600-9ADD-32698BAE247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8" authorId="0" shapeId="0" xr:uid="{2510A931-0641-4364-B8EE-890D338D041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8" authorId="0" shapeId="0" xr:uid="{8E25FF13-AB1A-4D4B-A1F7-016EED3982D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8" authorId="0" shapeId="0" xr:uid="{D1CB2494-1287-43DB-9FA5-8D038603D01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8" authorId="0" shapeId="0" xr:uid="{8D7A5280-3BEB-4DD1-B829-20D21993E9C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8" authorId="0" shapeId="0" xr:uid="{52DEBA97-D3C5-4B06-916D-B740DF2A7DC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8" authorId="0" shapeId="0" xr:uid="{5D64ED34-251E-4BFD-AE66-96F41F0D327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8" authorId="0" shapeId="0" xr:uid="{87371C3E-8A2C-4B9B-AE36-245D26134AE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8" authorId="0" shapeId="0" xr:uid="{ABA2EE6D-8400-44AC-8C90-46322C5E378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8" authorId="0" shapeId="0" xr:uid="{3215B230-524A-47A8-A91E-810C8913FC3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8" authorId="0" shapeId="0" xr:uid="{A170AFBC-AF1E-4C80-97BF-21091E082BB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8" authorId="0" shapeId="0" xr:uid="{E13A5F30-E75F-45F3-8DF8-826BAA350CE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28" authorId="0" shapeId="0" xr:uid="{2935F6F5-F865-4BAB-A62B-8CEA555B251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28" authorId="0" shapeId="0" xr:uid="{7DAA9377-A880-4F4D-9B76-93326D2E157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28" authorId="0" shapeId="0" xr:uid="{93E939A7-2A89-450F-9D8F-477AFD01D55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28" authorId="0" shapeId="0" xr:uid="{4426BC1C-3497-403C-94B7-30ABF551E46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28" authorId="0" shapeId="0" xr:uid="{454963AC-E315-45E8-A329-DCDF8374D4D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9" authorId="0" shapeId="0" xr:uid="{EA0EA67F-22D0-4A6E-9704-D12AFD4ED39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9" authorId="0" shapeId="0" xr:uid="{106644EB-9D55-4532-AAEB-A7699F89190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9" authorId="0" shapeId="0" xr:uid="{EB9DDE10-98CD-4B15-90E1-3B71DEB0079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9" authorId="0" shapeId="0" xr:uid="{04A6B560-A144-4246-BBCE-01ABDB043FA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9" authorId="0" shapeId="0" xr:uid="{9105D4D1-FDCA-4CE9-AAF6-9DC856D9749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9" authorId="0" shapeId="0" xr:uid="{5672262A-0201-47ED-8CEA-4CE23F8D599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9" authorId="0" shapeId="0" xr:uid="{B979F52E-839C-4DD1-A3D9-776984FA125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9" authorId="0" shapeId="0" xr:uid="{B40F0FBD-EE92-41D8-8E3D-FC5F3C9D90C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9" authorId="0" shapeId="0" xr:uid="{3B480B18-424B-4C8F-9284-BF0133120EE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9" authorId="0" shapeId="0" xr:uid="{35340ED1-CAC3-4817-A1AC-CBFD133CFE4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9" authorId="0" shapeId="0" xr:uid="{9133534F-405F-43AF-B898-D9A0AEFE9D3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29" authorId="0" shapeId="0" xr:uid="{D09D2CBF-7DAC-40F2-A0AE-8863F3D8C0F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29" authorId="0" shapeId="0" xr:uid="{1F355E60-20A5-49A8-AFDC-188CB585736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29" authorId="0" shapeId="0" xr:uid="{F45DF81E-473A-4735-8047-C5D5EFB9A14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29" authorId="0" shapeId="0" xr:uid="{565F4241-EC5D-48FF-82F9-EEC40851A8E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29" authorId="0" shapeId="0" xr:uid="{B603B380-6D83-43B0-8505-F87A06928AE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0" authorId="0" shapeId="0" xr:uid="{FE85176B-2B60-4F3D-91F7-563CD279330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0" authorId="0" shapeId="0" xr:uid="{6EA6451E-957A-455B-B9EC-EAC2401623F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0" authorId="0" shapeId="0" xr:uid="{FE908EB8-3CCA-4B42-AE96-226CD2AD657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0" authorId="0" shapeId="0" xr:uid="{F7D59221-98AE-4363-BAA9-F4A2A7CBC82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0" authorId="0" shapeId="0" xr:uid="{5164A138-F4FB-4F97-B51B-27EF4A1DA40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0" authorId="0" shapeId="0" xr:uid="{10BE6A2C-8E4D-47CA-B78C-DE74C6C1000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0" authorId="0" shapeId="0" xr:uid="{2601BAA8-4B83-4B18-A6E0-88EB76359FA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0" authorId="0" shapeId="0" xr:uid="{D2659404-10DD-4F18-AFED-556B7D6B181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0" authorId="0" shapeId="0" xr:uid="{C21CB9FE-0913-4175-94D1-511F24044D1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0" authorId="0" shapeId="0" xr:uid="{21FA01D6-9DCE-4403-8F9D-860813C684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0" authorId="0" shapeId="0" xr:uid="{EF17BDAB-2C73-4869-9491-894051EE989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30" authorId="0" shapeId="0" xr:uid="{13D31838-7B5E-4DAC-BDD4-FCE67B982F9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30" authorId="0" shapeId="0" xr:uid="{B247C701-8DB0-4086-A310-E46AEB9CFBD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30" authorId="0" shapeId="0" xr:uid="{A4649844-4029-4F4B-953F-F280B4F5CC2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30" authorId="0" shapeId="0" xr:uid="{34334E2A-4F85-4DB5-ACCF-2BB954C2E7A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30" authorId="0" shapeId="0" xr:uid="{2F526350-4ED2-44F8-BEA7-87C7248E2DF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1" authorId="0" shapeId="0" xr:uid="{EF89EE1E-2746-4999-A83D-F5E93EFD43A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1" authorId="0" shapeId="0" xr:uid="{5D5A261C-26A8-4B61-B5FE-8C7E9C5141B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1" authorId="0" shapeId="0" xr:uid="{F30EBBF6-CB03-409E-8B6C-3D40B49B309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1" authorId="0" shapeId="0" xr:uid="{33A2C7F2-53F8-40A8-A820-FAAABF4FC6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1" authorId="0" shapeId="0" xr:uid="{41C1554F-E8F3-4384-87F3-45A2F058904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1" authorId="0" shapeId="0" xr:uid="{51E2ED69-3C08-4E31-96DE-295979A50F1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1" authorId="0" shapeId="0" xr:uid="{6A191880-0A5B-4981-9802-8383D80E974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1" authorId="0" shapeId="0" xr:uid="{DCC6D69C-3DE5-46DF-B7D6-AD133D4BF29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1" authorId="0" shapeId="0" xr:uid="{D902A866-A55A-4540-886D-1CA3D9777BE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1" authorId="0" shapeId="0" xr:uid="{9085BB72-5BA2-4F04-ABB6-35B6A9C19C8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1" authorId="0" shapeId="0" xr:uid="{5AC337E1-526B-4198-940B-14DC429E53B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31" authorId="0" shapeId="0" xr:uid="{86BE3668-B9EF-4B4C-8A48-58082A499CD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31" authorId="0" shapeId="0" xr:uid="{A075F082-B4D0-474B-B970-319C510C9E8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31" authorId="0" shapeId="0" xr:uid="{6EB15640-285B-4E25-A3D4-DE70885E6D2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31" authorId="0" shapeId="0" xr:uid="{5EEBB15A-0040-4D67-87E7-34E90C92817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31" authorId="0" shapeId="0" xr:uid="{4FC6CAAB-6C59-47A2-9BDE-DA56BA5F3B4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2" authorId="0" shapeId="0" xr:uid="{55FC4C9F-2C89-4BBD-BA31-CD6AAF6F233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2" authorId="0" shapeId="0" xr:uid="{8057985F-0F74-4A7D-8518-BF5E094ABCF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2" authorId="0" shapeId="0" xr:uid="{92E9E3AA-1F06-4FA0-A8D2-F6B7D8C0CC0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2" authorId="0" shapeId="0" xr:uid="{EE90E315-84D6-444C-9F39-D93C012E2C7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2" authorId="0" shapeId="0" xr:uid="{EC195A56-BC48-41F7-8A1E-E3D484BF3F6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2" authorId="0" shapeId="0" xr:uid="{940860EB-5CEF-4EA0-97EE-769E5F45480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2" authorId="0" shapeId="0" xr:uid="{EDD05570-0764-4388-86F1-398AA8B3548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2" authorId="0" shapeId="0" xr:uid="{ED4F186A-D3C9-4A91-BD57-8E442DAC750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2" authorId="0" shapeId="0" xr:uid="{3E755183-850A-4C3D-91D2-2380B186CF0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2" authorId="0" shapeId="0" xr:uid="{EEB41ED6-A205-4EA8-9F74-D9BA1A7BC93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2" authorId="0" shapeId="0" xr:uid="{7F3A1558-6FF3-4492-85D3-EF669134870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32" authorId="0" shapeId="0" xr:uid="{2A727414-5CC4-49CD-BF82-990D5F700DA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32" authorId="0" shapeId="0" xr:uid="{A3AA849C-AB7D-4925-A8CF-B02B6D6230B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32" authorId="0" shapeId="0" xr:uid="{4D35A28D-85FD-4578-8EDB-6A2D798DB25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32" authorId="0" shapeId="0" xr:uid="{E8492C0C-2313-45BC-9D5F-F62D217C65B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32" authorId="0" shapeId="0" xr:uid="{CB92FE8F-1CE7-4022-85BE-E2453003D8C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3" authorId="0" shapeId="0" xr:uid="{FB79806A-048F-4917-8FAB-0A9BA3CB6BF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3" authorId="0" shapeId="0" xr:uid="{116527FA-619C-40FF-9BEA-1B7A1DB0841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3" authorId="0" shapeId="0" xr:uid="{8F4CC29F-3E92-4C0F-A5FC-E4DD339D8EA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3" authorId="0" shapeId="0" xr:uid="{0A6EBC06-5B59-4402-B17A-09FEAE12247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3" authorId="0" shapeId="0" xr:uid="{85177A9E-4C29-42AE-AE80-3D5CA97F6CC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3" authorId="0" shapeId="0" xr:uid="{9DC12B85-9B96-4887-A51C-9468215BF68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3" authorId="0" shapeId="0" xr:uid="{426A3808-8649-4962-8E54-EB9B0B0E30C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3" authorId="0" shapeId="0" xr:uid="{C9ACC3F7-1797-4874-A88F-38CE25BE3DD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3" authorId="0" shapeId="0" xr:uid="{CFCBEE5D-9025-4242-B64A-C632C579013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3" authorId="0" shapeId="0" xr:uid="{BF53B148-49F9-4008-B68C-7112136D577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3" authorId="0" shapeId="0" xr:uid="{A33A6129-CD5B-45F0-B3E2-49B533F96F2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33" authorId="0" shapeId="0" xr:uid="{0CD76CD4-865B-4539-8843-58E04DB9C66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33" authorId="0" shapeId="0" xr:uid="{A47356D4-CCC6-43D0-BFED-0835E32107B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33" authorId="0" shapeId="0" xr:uid="{C153B760-C1C3-4E15-9B83-77ABA6B7AC0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33" authorId="0" shapeId="0" xr:uid="{C779BFBB-731B-43F9-A18F-814914D7279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33" authorId="0" shapeId="0" xr:uid="{6C88C98D-3F34-432F-A418-40925936DB4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4" authorId="0" shapeId="0" xr:uid="{10F05C78-96A7-4DEC-ACF5-E30FE9F74A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4" authorId="0" shapeId="0" xr:uid="{425E8792-2A06-4171-9B1D-F6519E5605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4" authorId="0" shapeId="0" xr:uid="{3E495A24-3BAD-4482-B6C2-6D830C66B1F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4" authorId="0" shapeId="0" xr:uid="{5CCF3A6D-833F-4766-A31C-6EF0957911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4" authorId="0" shapeId="0" xr:uid="{23934419-39F4-470D-A2CA-EFB4DAD313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4" authorId="0" shapeId="0" xr:uid="{20ACF3FC-28BE-4FF7-88CF-CECD08661AB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4" authorId="0" shapeId="0" xr:uid="{04F07EC0-9A20-40C1-A1A3-3B99EE0D145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4" authorId="0" shapeId="0" xr:uid="{35DB1040-91C7-4D7C-A707-4B82A77D13D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4" authorId="0" shapeId="0" xr:uid="{B5B39943-1DF0-4DB8-958B-E5D3623F3AA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4" authorId="0" shapeId="0" xr:uid="{0015C1A8-A42A-410E-A3E4-AA61D52F31E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4" authorId="0" shapeId="0" xr:uid="{222112E1-27ED-4172-9879-3423D575380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34" authorId="0" shapeId="0" xr:uid="{16DEC21E-600B-4C51-AE5A-88BF6D40676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34" authorId="0" shapeId="0" xr:uid="{BCA73A56-1E8D-41EC-A648-ABC1F84081C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34" authorId="0" shapeId="0" xr:uid="{C41F0D70-D7A7-4E4A-AB45-767ED06781D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34" authorId="0" shapeId="0" xr:uid="{B7B6C8B1-54F7-40AB-82DA-96D974AF633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34" authorId="0" shapeId="0" xr:uid="{62409428-40A5-4799-8212-C7B90A8406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5" authorId="0" shapeId="0" xr:uid="{2EE04D35-8801-4287-A1B8-ECB3E4F1C21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5" authorId="0" shapeId="0" xr:uid="{9E20BB68-385B-4F49-9D10-895B0166D77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5" authorId="0" shapeId="0" xr:uid="{EF789499-9B88-48F0-A8AB-BA65E79E3B7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5" authorId="0" shapeId="0" xr:uid="{67F0E51A-936C-4C67-AD13-6EBCD47353C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5" authorId="0" shapeId="0" xr:uid="{43CE5B59-CE81-44D8-889D-40001A56315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5" authorId="0" shapeId="0" xr:uid="{E3F080D0-FCB0-4F0E-B20A-31585CA7CE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5" authorId="0" shapeId="0" xr:uid="{54D8949B-05D8-455E-9BEE-8709FC10FE2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5" authorId="0" shapeId="0" xr:uid="{8FE5FB93-D205-4A06-AE2B-69B3782C20A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5" authorId="0" shapeId="0" xr:uid="{4859EF44-7061-425A-85EC-CC4FCEB1E5D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5" authorId="0" shapeId="0" xr:uid="{68B44D84-7D1D-4F80-8234-ACCBF68EE76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5" authorId="0" shapeId="0" xr:uid="{829FD803-E05E-4E23-853B-089502F1527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35" authorId="0" shapeId="0" xr:uid="{048FE8EC-D79F-4B05-8938-F27BCF1BC48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35" authorId="0" shapeId="0" xr:uid="{C66CDF27-D06B-48CF-9CC6-530F5905802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35" authorId="0" shapeId="0" xr:uid="{51630874-222D-44E0-BEE1-F715FED967F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35" authorId="0" shapeId="0" xr:uid="{759B57E5-ACF4-4492-AA9A-D7E765604C1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35" authorId="0" shapeId="0" xr:uid="{7D76804F-567A-4262-AEDB-EE4D857290D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6" authorId="0" shapeId="0" xr:uid="{4EF911D7-8FE6-4843-94F8-B1D079E19AF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6" authorId="0" shapeId="0" xr:uid="{21179DD0-8B0F-4BBF-A274-5E534D3CB17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6" authorId="0" shapeId="0" xr:uid="{B226CB36-104B-4C77-B225-8002D65AE87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6" authorId="0" shapeId="0" xr:uid="{2E5094CB-C61C-4DC8-A938-37C43F8D385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6" authorId="0" shapeId="0" xr:uid="{BA1F4DE9-179D-4358-8F75-CBA33DC81A8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6" authorId="0" shapeId="0" xr:uid="{8F50DECB-3B2E-4566-97D7-E22F1991504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6" authorId="0" shapeId="0" xr:uid="{42943218-AF0C-4A83-8E44-640943F3C53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6" authorId="0" shapeId="0" xr:uid="{5C373F57-DA36-4551-BF8F-BA0667BA6B5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6" authorId="0" shapeId="0" xr:uid="{730DDD97-3043-41C7-8D5A-D60646E5310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6" authorId="0" shapeId="0" xr:uid="{77F3B95D-46CA-4132-8FFE-877D89C40C5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6" authorId="0" shapeId="0" xr:uid="{DC879EEB-55D2-4725-AD04-E956185254F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36" authorId="0" shapeId="0" xr:uid="{E65CAA42-78F6-4B3D-808C-105415B531B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36" authorId="0" shapeId="0" xr:uid="{C2973E35-0B03-46FB-8075-853798514E3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36" authorId="0" shapeId="0" xr:uid="{3CFF3810-37B4-47E6-981F-8668B4A260A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36" authorId="0" shapeId="0" xr:uid="{FC687EF0-F4C9-4640-914B-FCA3E33E39A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36" authorId="0" shapeId="0" xr:uid="{F4E7BD81-A180-4B49-9DD0-65836B85B00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7" authorId="0" shapeId="0" xr:uid="{A5268E9E-3F1C-43B6-B2D8-821F0DF9938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7" authorId="0" shapeId="0" xr:uid="{8AB17B4C-EA3F-4804-BEC7-B4FA3506B66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7" authorId="0" shapeId="0" xr:uid="{EC9BF543-4B84-403B-B2C3-F291B0D6965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7" authorId="0" shapeId="0" xr:uid="{59261194-1944-4FEE-A19E-A1FC9986E17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7" authorId="0" shapeId="0" xr:uid="{80AD73B9-5762-4811-860C-22B4FD7F52B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7" authorId="0" shapeId="0" xr:uid="{46841031-8775-48EC-99DA-9FDCF41E8EB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7" authorId="0" shapeId="0" xr:uid="{10981CA6-D271-41AB-96B3-52F78E6DC35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7" authorId="0" shapeId="0" xr:uid="{8BD6210C-54B7-4F2B-981F-4F1BA48E5A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7" authorId="0" shapeId="0" xr:uid="{746BF264-A47C-49C5-AED3-4E20B27FDF4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7" authorId="0" shapeId="0" xr:uid="{48BE8A40-8D60-41AD-8BDA-7C1CCA95F68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7" authorId="0" shapeId="0" xr:uid="{72649C67-2F1A-446D-BFE2-797F3AB5018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37" authorId="0" shapeId="0" xr:uid="{FBB4F63D-B387-4DC7-BCA4-BC5EDA59FB6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37" authorId="0" shapeId="0" xr:uid="{07B93C79-69D6-46A1-93C6-D4815B5AE79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37" authorId="0" shapeId="0" xr:uid="{22C9E596-1BE4-4906-A7F4-CD1AF20B4A2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37" authorId="0" shapeId="0" xr:uid="{029A8757-492B-4943-B5C8-9BCECF4EDE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37" authorId="0" shapeId="0" xr:uid="{50022EE4-538D-4846-81AE-1D24502711A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8" authorId="0" shapeId="0" xr:uid="{30E0A0E8-8B8E-4F1A-B9A4-1E0ED034136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8" authorId="0" shapeId="0" xr:uid="{A5DDDCF4-BEE1-49E3-B2AC-5315E65187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8" authorId="0" shapeId="0" xr:uid="{11C88ADD-0804-43A2-840F-952B12DEDF4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8" authorId="0" shapeId="0" xr:uid="{CE19070C-0EB9-4E1F-959E-72DF3C10E92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8" authorId="0" shapeId="0" xr:uid="{D31AD540-2568-4702-9F28-A7979E0F59A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8" authorId="0" shapeId="0" xr:uid="{409C58F4-5006-4E44-8074-BC2334BE91E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8" authorId="0" shapeId="0" xr:uid="{8F6248FC-BDF2-41EA-A36D-CE083757EAB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8" authorId="0" shapeId="0" xr:uid="{E09707E1-B36A-4DF2-85F5-C0BAE7B8712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8" authorId="0" shapeId="0" xr:uid="{D02F84AA-2EBD-46DC-8122-86A01C149A0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8" authorId="0" shapeId="0" xr:uid="{703044CC-5E9B-4B3A-8057-E1DB430B9BA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8" authorId="0" shapeId="0" xr:uid="{2AD79DEC-94DC-4C09-B74B-0F17C26EB41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38" authorId="0" shapeId="0" xr:uid="{943901B5-433F-451C-8B7B-70921DCBE2C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38" authorId="0" shapeId="0" xr:uid="{038DC7C9-A050-43FA-9250-03000D94A8A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38" authorId="0" shapeId="0" xr:uid="{7D7B6E3B-B9F3-4034-9993-C712BD52576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38" authorId="0" shapeId="0" xr:uid="{84EC2802-D436-46D4-B906-660F201479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38" authorId="0" shapeId="0" xr:uid="{6A74CA07-1F6A-4165-9AC0-77F3BB3F58A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9" authorId="0" shapeId="0" xr:uid="{39AF75FD-F1FA-4B91-A72B-B6827D6235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9" authorId="0" shapeId="0" xr:uid="{05FDC88E-FBD6-4F7A-874D-90EB57D919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9" authorId="0" shapeId="0" xr:uid="{329FD210-4328-44F4-AAA8-454E4AB8F1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9" authorId="0" shapeId="0" xr:uid="{122AF5B3-ADF9-4E33-9CAC-DBD3FCA056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9" authorId="0" shapeId="0" xr:uid="{CFCEBC11-CD5A-42CC-9FCF-E8F265005E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9" authorId="0" shapeId="0" xr:uid="{40F3A2B5-E214-4149-B572-DE78DA100E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9" authorId="0" shapeId="0" xr:uid="{DADE0D29-2045-4444-92AD-FF0FF04CCF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9" authorId="0" shapeId="0" xr:uid="{4819CA80-A356-4F2C-839D-5A4FEA0997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9" authorId="0" shapeId="0" xr:uid="{A82B8FE7-B22E-4FD4-A08C-BF6A645B82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9" authorId="0" shapeId="0" xr:uid="{0DA60D24-D38F-4F82-968C-128604131B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9" authorId="0" shapeId="0" xr:uid="{7ADF901B-8F57-4D94-8516-FA8F1CF511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9" authorId="0" shapeId="0" xr:uid="{9E11183A-D23F-42FA-BF49-2D429DF7E8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9" authorId="0" shapeId="0" xr:uid="{6B0BF3FF-F128-46C2-A591-17CEE1B41A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9" authorId="0" shapeId="0" xr:uid="{A25FBC69-F28F-4CC5-B006-0897FB90E7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9" authorId="0" shapeId="0" xr:uid="{515959FA-B6E5-4ED7-8193-3A61C03879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9" authorId="0" shapeId="0" xr:uid="{7C6A7567-8E1E-4D88-8074-A00A870792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0" authorId="0" shapeId="0" xr:uid="{74DD8BAE-6252-42CF-99AD-2566C17466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0" authorId="0" shapeId="0" xr:uid="{CC229F9E-72C0-4B63-88E2-CBD59B1971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0" authorId="0" shapeId="0" xr:uid="{3F63025A-627D-4BC7-8F4F-E462019B42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0" authorId="0" shapeId="0" xr:uid="{80417706-D6A7-4B86-9DD4-2CC7948A47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0" authorId="0" shapeId="0" xr:uid="{8EB87682-ABBA-4F71-8522-6322302B48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0" authorId="0" shapeId="0" xr:uid="{03171542-E143-4F27-B3F7-DD975CFACB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0" authorId="0" shapeId="0" xr:uid="{7C8DA780-6F70-4D55-B373-87D9FE502F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0" authorId="0" shapeId="0" xr:uid="{D7EB8EB3-D545-45F5-83C8-14487E9A0B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0" authorId="0" shapeId="0" xr:uid="{5B8D5563-7EA5-42D2-A9A5-C0ACEAD6E9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0" authorId="0" shapeId="0" xr:uid="{6ABB012D-C4EB-4BBB-9802-4E455387CC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0" authorId="0" shapeId="0" xr:uid="{C8EC5EBA-6276-4B63-9ED5-DAF6B14807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40" authorId="0" shapeId="0" xr:uid="{4B4F78A3-817D-44F5-A168-A95A85B924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40" authorId="0" shapeId="0" xr:uid="{ECF94EBD-9155-4316-99CD-6B9FE2B793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40" authorId="0" shapeId="0" xr:uid="{A06D7B58-BBC9-458B-95FD-AC06419F10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40" authorId="0" shapeId="0" xr:uid="{4D0D504E-702F-44A0-87A2-B904FA1131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40" authorId="0" shapeId="0" xr:uid="{79655EA3-AA75-4B93-8D8D-A8F4F18681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1" authorId="0" shapeId="0" xr:uid="{D8992D47-5A2F-4623-BC75-CFF75803DC4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1" authorId="0" shapeId="0" xr:uid="{1E06E9DB-E416-4FD5-887E-391D35FEF97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1" authorId="0" shapeId="0" xr:uid="{9DF971C5-25CA-4B3E-ADB2-12DEADD44E2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1" authorId="0" shapeId="0" xr:uid="{86CDA388-3960-4740-8270-C2898C86CCF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1" authorId="0" shapeId="0" xr:uid="{71150BC0-F0FF-43C9-A189-D73CC86E224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1" authorId="0" shapeId="0" xr:uid="{F0C9ACE9-0D5B-498A-818A-35228DA2869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1" authorId="0" shapeId="0" xr:uid="{939DE0E3-7505-4B8F-82AF-7E6FC53D28E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1" authorId="0" shapeId="0" xr:uid="{81A483D9-2F77-41F3-A3C4-99FB2A468F0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1" authorId="0" shapeId="0" xr:uid="{BB023464-1BA6-487F-9F3E-56556447E95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1" authorId="0" shapeId="0" xr:uid="{193E1338-50D0-4333-B651-FFDD19C2B24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1" authorId="0" shapeId="0" xr:uid="{FCA2FCFF-8326-4A92-B13D-CC1576E36DA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41" authorId="0" shapeId="0" xr:uid="{C89DC843-7424-4855-8733-2B2A29CE7C0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41" authorId="0" shapeId="0" xr:uid="{0E3654D1-4C1B-41E5-8E7C-870DA2F9F0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41" authorId="0" shapeId="0" xr:uid="{C61F9077-5104-4018-B52C-53986875F3C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41" authorId="0" shapeId="0" xr:uid="{087C5B64-07BD-4776-BE69-5CE8BCE29AF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41" authorId="0" shapeId="0" xr:uid="{BB5FA2F4-8CCB-4719-9738-041A1FF4BB4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2" authorId="0" shapeId="0" xr:uid="{ECA7A3BB-94E2-4B62-96E7-F93E8DDCBD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2" authorId="0" shapeId="0" xr:uid="{3A5E6FE8-5499-4ACA-B53E-046A0FB8E21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2" authorId="0" shapeId="0" xr:uid="{473AFC5E-4C08-432B-988F-453B81E5E80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2" authorId="0" shapeId="0" xr:uid="{4BAC63C7-C73C-43A2-9C66-E8969E85FF0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2" authorId="0" shapeId="0" xr:uid="{C024BA7A-D195-4A4E-AD1F-14E688C8163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2" authorId="0" shapeId="0" xr:uid="{2771170A-0CA8-4FB7-9DDF-2479ECCE6E5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2" authorId="0" shapeId="0" xr:uid="{8C27D07B-454B-4438-A157-F4777A78D87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2" authorId="0" shapeId="0" xr:uid="{0423C196-D757-4223-B251-30B037BC0C0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2" authorId="0" shapeId="0" xr:uid="{301D2DAD-EC65-4AA5-AC97-F165F061134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2" authorId="0" shapeId="0" xr:uid="{2858C291-7400-4A15-B910-6088F4FEB37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2" authorId="0" shapeId="0" xr:uid="{449E2AFD-D706-44E4-99A1-1D20D075F9A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42" authorId="0" shapeId="0" xr:uid="{B2A7D684-1571-4E2B-B9F7-CE0F4E69C09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42" authorId="0" shapeId="0" xr:uid="{5F14C516-62E5-4ACB-969D-40E43006992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42" authorId="0" shapeId="0" xr:uid="{D55842F5-E204-46A8-B729-DAAC529FF62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42" authorId="0" shapeId="0" xr:uid="{AD590A6F-D275-4937-8EEC-379884688F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42" authorId="0" shapeId="0" xr:uid="{ED4CB6DD-8C89-4D7B-AF16-A4F4AA0707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3" authorId="0" shapeId="0" xr:uid="{E15BE262-6398-432A-9AAA-D78678F8B55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3" authorId="0" shapeId="0" xr:uid="{98BC9A90-3E38-46A0-BDB8-AD3EEB4540F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3" authorId="0" shapeId="0" xr:uid="{AA75338D-B473-47E2-B3C0-D66DB4664D8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3" authorId="0" shapeId="0" xr:uid="{9A5E7F39-B06F-408B-A41D-FA3A4CB7360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3" authorId="0" shapeId="0" xr:uid="{0B928A73-9CF6-4474-8B60-0DC0D466793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3" authorId="0" shapeId="0" xr:uid="{85AB28AC-AAED-42F3-866B-6EF6302C040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3" authorId="0" shapeId="0" xr:uid="{1E5C0EA8-6EF5-4D7F-BD99-4EC65D677F1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3" authorId="0" shapeId="0" xr:uid="{FB2317EB-2F8A-427A-9BD2-CC0FA6FA2DF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3" authorId="0" shapeId="0" xr:uid="{5DC55F05-F38F-4A4B-9B9C-4D762D40CBB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3" authorId="0" shapeId="0" xr:uid="{4AAC9E6A-1BD1-408A-98D9-D4CDDE09900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3" authorId="0" shapeId="0" xr:uid="{44EF4ED5-0A67-4945-8289-2554D2AF2E5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43" authorId="0" shapeId="0" xr:uid="{FC1F73BC-3F57-4C5C-90A3-343045E2BE9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43" authorId="0" shapeId="0" xr:uid="{80DED2D0-C79E-40A1-A4D3-7024B0F14BD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43" authorId="0" shapeId="0" xr:uid="{55C66592-D99D-4ACE-97F1-BCAD86FF49E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43" authorId="0" shapeId="0" xr:uid="{85965B21-BEE6-4213-8B26-3AABCB1286B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43" authorId="0" shapeId="0" xr:uid="{4E62499C-9445-49DA-ADFC-06762BE42E2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4" authorId="0" shapeId="0" xr:uid="{A7BE8E2D-64CA-4111-8018-F43A2BCC382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4" authorId="0" shapeId="0" xr:uid="{4F7A64BB-9287-413E-A08E-19A43592956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4" authorId="0" shapeId="0" xr:uid="{0AEA1ABC-AE78-4D9D-85C0-B847F7AE4F1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4" authorId="0" shapeId="0" xr:uid="{BC529DDF-E610-421B-A110-8300F36F251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4" authorId="0" shapeId="0" xr:uid="{60A7E314-99A3-49EF-B1AA-F2A3A0C6720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4" authorId="0" shapeId="0" xr:uid="{9A5DC7A2-3C89-44F9-AC9F-6091183B8C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4" authorId="0" shapeId="0" xr:uid="{4A6DFAB7-8B5C-44FD-A66C-A491B14BD60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4" authorId="0" shapeId="0" xr:uid="{ECC13DCE-4358-458A-BAA5-4E2936F2F77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4" authorId="0" shapeId="0" xr:uid="{97DEB52D-73C9-4C7F-9842-40A7CE1D22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4" authorId="0" shapeId="0" xr:uid="{6598ABBC-CA47-4A70-BBA2-FA61EBEBD54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4" authorId="0" shapeId="0" xr:uid="{51305CFD-8900-4293-AEC1-3AD001C31E5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44" authorId="0" shapeId="0" xr:uid="{F913E3A7-FF47-4EED-AB8E-B12B4D75414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44" authorId="0" shapeId="0" xr:uid="{3AB07580-390B-485C-AFCB-348538B0712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44" authorId="0" shapeId="0" xr:uid="{E4BDCC66-2237-405F-A856-758DC80054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44" authorId="0" shapeId="0" xr:uid="{EC6C005F-42C3-452C-A934-631675B8D0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44" authorId="0" shapeId="0" xr:uid="{7CC4663B-1587-445F-A4B7-878241BD55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5" authorId="0" shapeId="0" xr:uid="{03392E9B-7077-48B7-8992-D6068757AE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5" authorId="0" shapeId="0" xr:uid="{3556D3A8-99EF-4017-9BFF-005832689BF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5" authorId="0" shapeId="0" xr:uid="{89697E7B-6D5C-43F9-B2DE-40C9682BEDB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5" authorId="0" shapeId="0" xr:uid="{C7E5289D-8A89-47E9-ADC0-9B7366AA642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5" authorId="0" shapeId="0" xr:uid="{45879B58-F1C8-49E0-997C-1D6C6FB13E4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5" authorId="0" shapeId="0" xr:uid="{05F28B19-8801-47AC-AC85-1750516E5E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5" authorId="0" shapeId="0" xr:uid="{48D9514B-A673-47DF-8E5C-D20FE9C7DCE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5" authorId="0" shapeId="0" xr:uid="{B541757E-5144-419F-8871-1844D82C9CF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5" authorId="0" shapeId="0" xr:uid="{CDB65320-EA66-4FB7-AFAA-64C10926EF0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5" authorId="0" shapeId="0" xr:uid="{8FA585DD-4C12-40E0-8C10-90A3E71907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5" authorId="0" shapeId="0" xr:uid="{1D0DD86C-EDBD-4ABA-9C14-6A734C3AB2F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45" authorId="0" shapeId="0" xr:uid="{9B64C6B1-D55C-48BD-888B-41DC12D40AC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45" authorId="0" shapeId="0" xr:uid="{C92E0588-4AE3-480F-B5E5-B7A80D77E0F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45" authorId="0" shapeId="0" xr:uid="{ED4A851D-F69C-417F-83F0-9C3EFF1FDB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45" authorId="0" shapeId="0" xr:uid="{6DAB626D-5688-455F-A611-01CE5CB3A9D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45" authorId="0" shapeId="0" xr:uid="{E9972F54-1289-4EBE-9F89-E82AFB00786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6" authorId="0" shapeId="0" xr:uid="{321809B0-90CB-4739-8270-9903C57D817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6" authorId="0" shapeId="0" xr:uid="{9B21738E-0217-4FB9-A0FA-A0A07FC44E1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6" authorId="0" shapeId="0" xr:uid="{3CAC9B66-4807-4C2C-8349-388579C8B72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6" authorId="0" shapeId="0" xr:uid="{2F5D939B-F6CB-4E29-B61C-72570A72A5C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6" authorId="0" shapeId="0" xr:uid="{0163B539-7605-47A7-B57B-266219B630B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6" authorId="0" shapeId="0" xr:uid="{D3C723F7-C162-44E4-B617-4AD1D2E5FCB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6" authorId="0" shapeId="0" xr:uid="{B8003A72-F018-4EF5-9FE7-08D71C25A07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6" authorId="0" shapeId="0" xr:uid="{FC7F47A5-0E6F-4E5D-AF59-46715D523ED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6" authorId="0" shapeId="0" xr:uid="{0EC5962E-44F6-44C7-AD9C-E322D049B3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6" authorId="0" shapeId="0" xr:uid="{CA46B606-9D58-4E57-BDE0-8C78FEFA816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6" authorId="0" shapeId="0" xr:uid="{ABE66EF2-DEF2-4E82-9ED2-E3CF665D3F9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46" authorId="0" shapeId="0" xr:uid="{D587F7C2-6B13-46CB-81E5-D2745854687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46" authorId="0" shapeId="0" xr:uid="{38BDC3F5-C16A-4D03-8AA9-21D073481AE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46" authorId="0" shapeId="0" xr:uid="{2FC18D43-1954-456E-93BA-6E95A8179B8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46" authorId="0" shapeId="0" xr:uid="{04153C93-688F-44D9-BBC0-9B84FAF24B4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46" authorId="0" shapeId="0" xr:uid="{D4F0247F-9FB7-46E4-92B8-23603F91B1F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7" authorId="0" shapeId="0" xr:uid="{24AFAA2A-8608-4F46-B07A-EA4B332616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7" authorId="0" shapeId="0" xr:uid="{B9ABCC17-FD3F-4496-A9E4-AF3BD6935FF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7" authorId="0" shapeId="0" xr:uid="{7F395537-8D98-412B-9F06-13CAE799045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7" authorId="0" shapeId="0" xr:uid="{926852C2-1C92-4CEA-ACF9-A146E60EE0D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7" authorId="0" shapeId="0" xr:uid="{108D013A-0D77-456C-A873-6F3F8CE346C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7" authorId="0" shapeId="0" xr:uid="{55661775-945D-4C1F-B262-7F82A56A67C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7" authorId="0" shapeId="0" xr:uid="{42FC707F-2A9A-404F-9557-536FB832CBC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7" authorId="0" shapeId="0" xr:uid="{79B3BA52-779E-461F-B531-08DE11A3370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7" authorId="0" shapeId="0" xr:uid="{232E3E52-E83A-497C-8228-1FD6D7786B0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7" authorId="0" shapeId="0" xr:uid="{0BA089DA-087F-4315-9012-BC555EA757B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7" authorId="0" shapeId="0" xr:uid="{A318C55D-52A3-44A2-96FD-D8C3E7B5A4E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47" authorId="0" shapeId="0" xr:uid="{8B87B83A-9378-4B9A-804C-40F26C974F7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47" authorId="0" shapeId="0" xr:uid="{D97820DD-CD03-4AFF-9C7B-7CD50506FFF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47" authorId="0" shapeId="0" xr:uid="{C4B538C6-BE1C-43F6-B196-596E0889AE1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47" authorId="0" shapeId="0" xr:uid="{A5DFEE77-E916-4EEE-9060-CE21216CA43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47" authorId="0" shapeId="0" xr:uid="{049B32D1-7E27-449D-9E56-821682841B2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8" authorId="0" shapeId="0" xr:uid="{10182A6A-3705-4666-BA22-C3DEAC806F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8" authorId="0" shapeId="0" xr:uid="{2E05830E-A34D-4859-ACC2-E4827325B5C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8" authorId="0" shapeId="0" xr:uid="{1254317B-6A2E-4080-891C-BA7D0D409A7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8" authorId="0" shapeId="0" xr:uid="{54B8A70C-951F-42E4-89AB-BA8CC017E20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8" authorId="0" shapeId="0" xr:uid="{4FC18B60-8533-4099-989A-4D81C9C8DD7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8" authorId="0" shapeId="0" xr:uid="{E3CD3F51-4778-474E-BA5F-47856D0DA34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8" authorId="0" shapeId="0" xr:uid="{B06BF66C-3088-450C-BA6B-AA28FF03AED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8" authorId="0" shapeId="0" xr:uid="{0CDCFFEA-8613-45CF-815B-C77333E1087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8" authorId="0" shapeId="0" xr:uid="{E3FDE6B8-A084-4473-926D-2CCC0535B5D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8" authorId="0" shapeId="0" xr:uid="{18B86EE1-1B35-4603-BC1E-CEAE2272187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8" authorId="0" shapeId="0" xr:uid="{1CAACB6A-EF00-4CC2-A116-F310C76D19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48" authorId="0" shapeId="0" xr:uid="{125CF866-E24B-41B9-8498-2F34CC3A717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48" authorId="0" shapeId="0" xr:uid="{EEC25CFE-AAEF-46D1-9BDB-1C12B814DF0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48" authorId="0" shapeId="0" xr:uid="{8DCE3BE8-9E2B-41FB-850A-BD91B7CCD4B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48" authorId="0" shapeId="0" xr:uid="{3E64209B-E3D9-4769-954F-FBD86C92714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48" authorId="0" shapeId="0" xr:uid="{3EF53B09-254F-4E5E-81A2-4F761EC0FB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1" authorId="0" shapeId="0" xr:uid="{2E6A79A9-B8C4-48EE-8DB6-8845E43790E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1" authorId="0" shapeId="0" xr:uid="{EEE14B28-0CF5-488E-A844-84B703D7A65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1" authorId="0" shapeId="0" xr:uid="{26CDE634-522B-4C5C-9771-871ED527F3D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1" authorId="0" shapeId="0" xr:uid="{EACAA64B-AA63-48D1-82B8-25BB4FCCDB4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1" authorId="0" shapeId="0" xr:uid="{90D8BA80-601F-4136-82A8-604868FF178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1" authorId="0" shapeId="0" xr:uid="{4A3A9E28-53B8-4593-BD17-17EC0899537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1" authorId="0" shapeId="0" xr:uid="{F144CA9E-6F35-48EA-A583-E5A2A2B76FE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1" authorId="0" shapeId="0" xr:uid="{22D84FB8-4683-416A-AE96-F76769B0EB2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1" authorId="0" shapeId="0" xr:uid="{BE646DDB-4D2C-4A41-8A58-B3778A06CAA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1" authorId="0" shapeId="0" xr:uid="{7BE01546-AE31-4961-A9EE-DCDC384CA4C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1" authorId="0" shapeId="0" xr:uid="{5839074A-0A92-45E5-B6AF-AAF70A630C5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51" authorId="0" shapeId="0" xr:uid="{2235B112-4B08-4445-81D2-1DE7649A681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51" authorId="0" shapeId="0" xr:uid="{C7C9919B-65B2-467A-B9C4-0B9DBC31EFE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51" authorId="0" shapeId="0" xr:uid="{CE81E7BD-0AA7-4DF2-AEB0-8D3E7D3E0A7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51" authorId="0" shapeId="0" xr:uid="{83107E9B-7848-4E8B-9277-AE1D5B83EC3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51" authorId="0" shapeId="0" xr:uid="{9138AAE5-CB34-4226-B39A-B1C3132A7A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2" authorId="0" shapeId="0" xr:uid="{C2184040-C2E0-4002-8215-3D9A2ABF5A3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2" authorId="0" shapeId="0" xr:uid="{04501880-0A86-4C2F-8356-14FDF74C16A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2" authorId="0" shapeId="0" xr:uid="{51EE4A89-56FD-4A70-BD11-93B4F5CCE19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2" authorId="0" shapeId="0" xr:uid="{2EEB85C4-2789-450F-8836-03583C047DA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2" authorId="0" shapeId="0" xr:uid="{FCB0332E-A319-4324-B4F4-52A9B75B903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2" authorId="0" shapeId="0" xr:uid="{35B0CA49-4909-4C7A-BAAC-B8B3FFD4579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2" authorId="0" shapeId="0" xr:uid="{758BBCAA-DA23-4671-B65F-DB1BFAB6919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2" authorId="0" shapeId="0" xr:uid="{CBB04AA7-C6DF-4D35-B578-F42A5CEE947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2" authorId="0" shapeId="0" xr:uid="{C262BAD1-2553-4A77-A4C7-65598D20547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2" authorId="0" shapeId="0" xr:uid="{4562E669-1769-496D-A8F4-372E3A73CCE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2" authorId="0" shapeId="0" xr:uid="{5B74D62A-B417-440A-B552-FE48E2A1F42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52" authorId="0" shapeId="0" xr:uid="{BC27F749-6218-49F4-9960-AABBFA71EBC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52" authorId="0" shapeId="0" xr:uid="{34B393EE-E2A7-423E-BD10-BE4AC1FA690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52" authorId="0" shapeId="0" xr:uid="{078F57D4-394D-4B61-8019-C20416DEF2B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52" authorId="0" shapeId="0" xr:uid="{4B6B2261-DEC9-4243-A292-72AA1CBDA71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52" authorId="0" shapeId="0" xr:uid="{383D3F48-1628-40BD-9267-75A44AF44B8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3" authorId="0" shapeId="0" xr:uid="{D04E332D-1C07-460D-968B-E38C8B2B713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3" authorId="0" shapeId="0" xr:uid="{5EADCDAA-CBAB-4019-8A4F-7378A882DB4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3" authorId="0" shapeId="0" xr:uid="{8A95F66F-713C-44D1-9551-CF3CB9408D1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3" authorId="0" shapeId="0" xr:uid="{5EF4798C-0347-435D-BE8A-B6208EAB05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3" authorId="0" shapeId="0" xr:uid="{74C0C8D9-C421-4A39-88AE-7B57BD260F6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3" authorId="0" shapeId="0" xr:uid="{394ABEFF-D47D-4FCA-9280-7BA3643E0BF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3" authorId="0" shapeId="0" xr:uid="{9C08779C-6CAB-4CF0-9E09-4DEFCEAE5A7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3" authorId="0" shapeId="0" xr:uid="{EF91777C-EAC2-4A02-B040-99FBF70241D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3" authorId="0" shapeId="0" xr:uid="{E670CF05-4A3C-4A89-B821-8B5843E1749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3" authorId="0" shapeId="0" xr:uid="{73F3D1BC-B391-4B81-A13C-164CD4AAE69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3" authorId="0" shapeId="0" xr:uid="{B25DA759-CC24-43BE-867A-F17D5B734F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53" authorId="0" shapeId="0" xr:uid="{4D67DE3C-C74E-4867-A0B5-23EB9CC1FE6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53" authorId="0" shapeId="0" xr:uid="{AAC7C874-12F4-4822-B9B9-F59CD23C9E0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53" authorId="0" shapeId="0" xr:uid="{1D21C563-F503-4C56-A819-2768E1A229A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53" authorId="0" shapeId="0" xr:uid="{4B10F689-BA49-4A14-947F-D6B9C28FD36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53" authorId="0" shapeId="0" xr:uid="{036AF5C8-98D1-4749-807A-341E70EEEC3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4" authorId="0" shapeId="0" xr:uid="{950974BE-BFD4-4789-AA9B-236AE0EA2FB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4" authorId="0" shapeId="0" xr:uid="{E2916D14-3E15-4FB5-A2BD-877FAAA590E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4" authorId="0" shapeId="0" xr:uid="{C4182324-98B8-4900-982A-15458F7D91E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4" authorId="0" shapeId="0" xr:uid="{6FF10097-A834-42EA-8992-6AD9DE8B0E9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4" authorId="0" shapeId="0" xr:uid="{79D4516E-B876-4006-BD6D-628BC508510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4" authorId="0" shapeId="0" xr:uid="{607C92E0-6123-4CCD-986B-8D7EEC44A89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4" authorId="0" shapeId="0" xr:uid="{51B3CE74-55BF-4905-B60B-D4877F779DE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4" authorId="0" shapeId="0" xr:uid="{4E9DCC58-FE90-4C12-9AB2-7F3B587FDCA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4" authorId="0" shapeId="0" xr:uid="{74D53A46-B677-44FE-8C15-A7BC103A135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4" authorId="0" shapeId="0" xr:uid="{69CED3BF-D503-4649-8CBF-E7027B6EFD7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4" authorId="0" shapeId="0" xr:uid="{BC0423C0-8D23-4B7A-ACC8-261A60789AD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54" authorId="0" shapeId="0" xr:uid="{3B638442-0E17-41A5-B6A8-060AA32511B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54" authorId="0" shapeId="0" xr:uid="{ED8B834F-26A2-46B5-8F68-948E6C5525D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54" authorId="0" shapeId="0" xr:uid="{05D1B85D-B50A-4F9E-B8AD-69548220129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54" authorId="0" shapeId="0" xr:uid="{58BA91AA-8770-435F-97F3-BA001B7AA34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54" authorId="0" shapeId="0" xr:uid="{578E84C9-AB3E-487E-AA87-B39571BFCEE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5" authorId="0" shapeId="0" xr:uid="{81F7ADDE-B6CB-4802-81BD-1D03F77C3A5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5" authorId="0" shapeId="0" xr:uid="{B6DA4CF8-DFF5-4D22-88EF-59DFD7ED223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5" authorId="0" shapeId="0" xr:uid="{F811F051-CDAA-4847-B4DA-9B1C2A1C5C4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5" authorId="0" shapeId="0" xr:uid="{251A3783-209D-4837-94CB-687824A0214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5" authorId="0" shapeId="0" xr:uid="{1AACDB11-728E-4BBC-A80F-2389895B177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5" authorId="0" shapeId="0" xr:uid="{1F8CBCDA-53EE-49C2-8D26-BAA2162B2B2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5" authorId="0" shapeId="0" xr:uid="{B01D6D01-AD17-4E72-8C7A-F101CB18CAD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5" authorId="0" shapeId="0" xr:uid="{FAE6C4B5-D4CC-4FB6-B211-3C13123D4D7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5" authorId="0" shapeId="0" xr:uid="{B9147FB0-790C-4E29-8B83-22CC73E1EB4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5" authorId="0" shapeId="0" xr:uid="{2313C79A-EFA7-43E1-ADB1-0B2815B1373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5" authorId="0" shapeId="0" xr:uid="{206C24F3-583C-47B9-99A3-A3A1923CFA9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55" authorId="0" shapeId="0" xr:uid="{8890B48A-4FF2-45CA-B1D7-0DA8700CFD7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55" authorId="0" shapeId="0" xr:uid="{057FA016-FF6B-42E6-879B-9663CBBF833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55" authorId="0" shapeId="0" xr:uid="{61AF2830-68AF-437B-9FDE-B345E4160C3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55" authorId="0" shapeId="0" xr:uid="{DC42DF54-6D97-4783-9094-D0A3706B48F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55" authorId="0" shapeId="0" xr:uid="{65AB837E-8FC2-4869-8D25-38D1EC8E35E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6" authorId="0" shapeId="0" xr:uid="{897F25C9-DF21-40A0-B6C4-2FB9D45BA47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6" authorId="0" shapeId="0" xr:uid="{4683C3CB-7973-4F6A-AF43-B4EE414DE54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6" authorId="0" shapeId="0" xr:uid="{25C8FEEB-DD5A-4F50-A311-5C8132307A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6" authorId="0" shapeId="0" xr:uid="{37466860-FCD0-49D3-851F-3489187D1F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6" authorId="0" shapeId="0" xr:uid="{2EF96DF9-D082-40F9-B40F-AD0ECD2A5CE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6" authorId="0" shapeId="0" xr:uid="{3A1AD0BA-F828-4AEF-96AC-65542A17E12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6" authorId="0" shapeId="0" xr:uid="{4B61C486-94E7-4D48-874C-BB0EDD556BE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6" authorId="0" shapeId="0" xr:uid="{B69E3E98-CF73-47EA-8933-20DA73699EF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6" authorId="0" shapeId="0" xr:uid="{9F8BA7E4-3388-45AD-8AC3-F3629C6AE84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6" authorId="0" shapeId="0" xr:uid="{B09F7E09-BA85-4133-B214-06A8885A1E0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6" authorId="0" shapeId="0" xr:uid="{1F730E0D-6812-4311-8550-94BBD2DEC84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56" authorId="0" shapeId="0" xr:uid="{8B7A5141-2EFB-4B37-A37F-BAC448025BE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56" authorId="0" shapeId="0" xr:uid="{5B96C6F6-11F4-4A76-829E-18E8D447B5E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56" authorId="0" shapeId="0" xr:uid="{E8CF0D7C-56FD-4C59-A234-36480BF9CA3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56" authorId="0" shapeId="0" xr:uid="{43DF855D-D1FD-43FB-8F8E-81DD1B9E2F4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56" authorId="0" shapeId="0" xr:uid="{44ACAA33-D58F-4736-902B-07A0BAC766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7" authorId="0" shapeId="0" xr:uid="{D9EE4163-8D14-49C7-82AF-BE86C6BEFF7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7" authorId="0" shapeId="0" xr:uid="{E63663B2-F64A-4AD4-BBF7-DE4E09A2ED0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7" authorId="0" shapeId="0" xr:uid="{7D9F34B2-24B3-420C-8273-E2E248CD19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7" authorId="0" shapeId="0" xr:uid="{1E2DF322-7A03-4994-98DB-B1B2B65C303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7" authorId="0" shapeId="0" xr:uid="{DB0F112D-2344-46B9-998E-0C505252331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7" authorId="0" shapeId="0" xr:uid="{E4D78058-FD94-4C8C-97BC-45C714B2D8A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7" authorId="0" shapeId="0" xr:uid="{6C381196-29A2-4C1B-929C-5455F22B40A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7" authorId="0" shapeId="0" xr:uid="{DAE97F8A-21AD-4C33-9668-937B7B093FA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7" authorId="0" shapeId="0" xr:uid="{C1A98B5F-AAC6-420A-9E8F-CD0FCB425ED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7" authorId="0" shapeId="0" xr:uid="{38583B3A-B706-4EB3-A8AE-BACB8B41C53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7" authorId="0" shapeId="0" xr:uid="{464ADC0E-6BF5-4568-9C27-D69E832596E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57" authorId="0" shapeId="0" xr:uid="{172191F8-9108-4969-9724-7E78A9C89F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57" authorId="0" shapeId="0" xr:uid="{92AC1F04-5F81-4265-AFDD-D8069509448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57" authorId="0" shapeId="0" xr:uid="{27EFC5E1-7C9C-42E3-B292-EB6227C760E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57" authorId="0" shapeId="0" xr:uid="{EFAC4A52-FB12-4B0F-AFF8-FE35BF070D1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57" authorId="0" shapeId="0" xr:uid="{6B36AA2A-46D8-4FC1-81B9-9747790D1E2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8" authorId="0" shapeId="0" xr:uid="{19A830C6-000A-4826-A27E-7D83BB6CF34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8" authorId="0" shapeId="0" xr:uid="{C7975221-1786-429B-AFEC-1D06CF5E94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8" authorId="0" shapeId="0" xr:uid="{0B766F44-78A2-4484-977F-8057766B954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8" authorId="0" shapeId="0" xr:uid="{BA1473B5-407F-4FA3-B538-A3ED9361A68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8" authorId="0" shapeId="0" xr:uid="{82337F2D-7347-4039-A972-49D4FE4EF97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8" authorId="0" shapeId="0" xr:uid="{F2E0CF4F-CDC2-42DA-8B27-7EFDE365B46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8" authorId="0" shapeId="0" xr:uid="{DFCADE4F-A9E5-4543-B4FA-542EF5DC16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8" authorId="0" shapeId="0" xr:uid="{6C941D9F-BFC6-4375-B699-E4A24B9E89A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8" authorId="0" shapeId="0" xr:uid="{81F9D183-FBD3-4DFA-BD55-95F3C0666E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8" authorId="0" shapeId="0" xr:uid="{1C976A82-8070-4856-9407-FA0A67AF1E9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8" authorId="0" shapeId="0" xr:uid="{3861E7FF-A09D-43A2-9211-D393AD7C90C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58" authorId="0" shapeId="0" xr:uid="{AC70A6F8-119B-41FF-BE58-8715CB5B782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58" authorId="0" shapeId="0" xr:uid="{934B7B3D-8540-43CC-8849-77F8388C725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58" authorId="0" shapeId="0" xr:uid="{BB51BEEB-8D9A-4C93-9760-7BCDC4A2F7F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58" authorId="0" shapeId="0" xr:uid="{71B29F43-AD69-441D-B28B-5F798526D49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58" authorId="0" shapeId="0" xr:uid="{2E99BADA-D894-4732-9081-E6F577DA5C9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9" authorId="0" shapeId="0" xr:uid="{B28DF628-447C-4E6A-8F0A-86CE8D95D93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9" authorId="0" shapeId="0" xr:uid="{C8E17FFC-4074-4700-AE6D-EA9CABB97E4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9" authorId="0" shapeId="0" xr:uid="{279B44FE-6C23-4632-977D-8F54D5B5ABD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9" authorId="0" shapeId="0" xr:uid="{4A75C417-07DB-475C-9C14-78D4B227004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9" authorId="0" shapeId="0" xr:uid="{FD9AE5D4-CC4F-44C9-ACDE-195774A44DE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9" authorId="0" shapeId="0" xr:uid="{A1A04DA5-0B2C-4B0C-8640-55FC291EC48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9" authorId="0" shapeId="0" xr:uid="{76513BB4-B734-436B-82FF-87BEA75FDAB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9" authorId="0" shapeId="0" xr:uid="{65A76900-8472-4FE4-B4DC-5A78CA7F051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9" authorId="0" shapeId="0" xr:uid="{87023300-D7CB-4537-BD5C-A7BDC5C7094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9" authorId="0" shapeId="0" xr:uid="{37C8D1BF-767B-4702-8851-1CFA314589F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9" authorId="0" shapeId="0" xr:uid="{535388AA-1416-4343-AEA5-52BF2A7599F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59" authorId="0" shapeId="0" xr:uid="{A1F4E61B-1D3E-48B2-BC17-F976289C2FA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59" authorId="0" shapeId="0" xr:uid="{86A7FF3B-C506-4E72-AE91-831D715FED9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59" authorId="0" shapeId="0" xr:uid="{97638F5C-4679-4414-94B1-32D2C55F0E3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59" authorId="0" shapeId="0" xr:uid="{C37BEFCB-AF36-4139-B55D-9B63FB59B12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59" authorId="0" shapeId="0" xr:uid="{7EDE622F-C181-4874-B685-545F53A506E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0" authorId="0" shapeId="0" xr:uid="{5ED017D4-7F29-4F9E-9F64-E9C7150B980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0" authorId="0" shapeId="0" xr:uid="{DCAE5535-D238-49EC-8B7A-4E364889574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0" authorId="0" shapeId="0" xr:uid="{860CB63B-E45A-4182-8072-9FA6CE01C15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0" authorId="0" shapeId="0" xr:uid="{2ADD6952-9654-4578-A4F2-2BB658CC5F7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0" authorId="0" shapeId="0" xr:uid="{544CFB7D-BF41-48EF-9282-C4902B20725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0" authorId="0" shapeId="0" xr:uid="{43B6D242-D747-4B69-9A4D-AB49B44D1D3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0" authorId="0" shapeId="0" xr:uid="{A47DCFC9-CA0A-42E4-B731-38CB48084EB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0" authorId="0" shapeId="0" xr:uid="{5FC86B8C-6E2C-48EC-8F90-B591378F520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0" authorId="0" shapeId="0" xr:uid="{06621D3E-E4B2-4F4B-9B3D-6570984F9B7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0" authorId="0" shapeId="0" xr:uid="{9941E850-010F-48B0-9D08-709649E52EE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0" authorId="0" shapeId="0" xr:uid="{FBA76346-D58C-48BB-A21C-136B4639B91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60" authorId="0" shapeId="0" xr:uid="{75CA29D7-6E8E-44D4-8399-5BB03799A2F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60" authorId="0" shapeId="0" xr:uid="{57E873DE-F9FF-4F1F-8C77-DAB323751EB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60" authorId="0" shapeId="0" xr:uid="{53029FC7-75A8-47C0-83BC-93495C77148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60" authorId="0" shapeId="0" xr:uid="{7786FC44-679C-4C80-A35D-C7C6EC41A03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60" authorId="0" shapeId="0" xr:uid="{38F4A752-FCA1-411D-B92B-9ADBE684527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1" authorId="0" shapeId="0" xr:uid="{16F5FB30-BE5A-4AF0-B349-DFD312FF1AE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1" authorId="0" shapeId="0" xr:uid="{889A8E8E-2DC1-4DB3-A3B2-AE3B3CEA406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1" authorId="0" shapeId="0" xr:uid="{925DC8F9-2E4A-4B2F-9D14-3222FF64119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1" authorId="0" shapeId="0" xr:uid="{35E701E0-A6AB-4134-AD4E-890D6B9FA90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1" authorId="0" shapeId="0" xr:uid="{22146494-1A5D-47E4-9D32-E8305BA648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1" authorId="0" shapeId="0" xr:uid="{534B6C89-F1D2-40DA-AAAC-5132FD489D0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1" authorId="0" shapeId="0" xr:uid="{671B16F1-8C79-4038-B1BB-C7B366AE0C5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1" authorId="0" shapeId="0" xr:uid="{B5C2DDE1-2407-4CEE-8A25-A91E3A1C47E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1" authorId="0" shapeId="0" xr:uid="{80C88009-28F7-41E3-88E2-2C2E008D6FB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1" authorId="0" shapeId="0" xr:uid="{428D6B5F-ADC6-4041-96C7-C837D4E20D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1" authorId="0" shapeId="0" xr:uid="{C89F6D7D-583B-4404-A585-88FC1B12115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61" authorId="0" shapeId="0" xr:uid="{5FF35B08-3A7F-4618-BD15-3A472569177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61" authorId="0" shapeId="0" xr:uid="{2592D4DB-942B-42BE-8216-22FE2EDFB7F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61" authorId="0" shapeId="0" xr:uid="{4AE324FF-0A25-4047-A6FE-AB2D0369B5B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61" authorId="0" shapeId="0" xr:uid="{8B4EB8CE-EB00-417A-9106-E715AB2D3A1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61" authorId="0" shapeId="0" xr:uid="{9685C1F2-8270-449D-905A-7B35A7E52A7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2" authorId="0" shapeId="0" xr:uid="{EF9A11DD-0E74-4AA7-B882-E96EDCC211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2" authorId="0" shapeId="0" xr:uid="{94EA54EF-4B1A-4A07-8B62-36A717EB6F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2" authorId="0" shapeId="0" xr:uid="{5D67AFC6-9435-4AF0-99E5-6C0C3C18EE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2" authorId="0" shapeId="0" xr:uid="{8CB3B045-98BC-429B-9C10-8301A78216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2" authorId="0" shapeId="0" xr:uid="{D121F7B6-C38E-4CE6-AF44-1F159157AF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2" authorId="0" shapeId="0" xr:uid="{7893A73E-1283-4EC7-8368-0CC96AC78B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62" authorId="0" shapeId="0" xr:uid="{C641667C-2567-4D00-8B0A-B2CB20B8DE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2" authorId="0" shapeId="0" xr:uid="{DC17C046-5095-4830-905B-39A1BDD2C8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62" authorId="0" shapeId="0" xr:uid="{3C66DC9F-FFB6-481A-B440-686AB444E4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62" authorId="0" shapeId="0" xr:uid="{F71CB06C-7CB3-4522-8D6A-169F169AF0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2" authorId="0" shapeId="0" xr:uid="{9635D95C-B7ED-41C6-9684-443B40666B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2" authorId="0" shapeId="0" xr:uid="{6AB4364D-95DA-47AA-ACB9-74FFCF53F8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62" authorId="0" shapeId="0" xr:uid="{ACBDE20B-CE0D-4B8D-BA2A-9CD1A7BE5B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62" authorId="0" shapeId="0" xr:uid="{737F1603-D8F4-4BD3-BC0B-891DF278D6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2" authorId="0" shapeId="0" xr:uid="{14571025-9AE4-4A44-A9AE-F3B2EFC70F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62" authorId="0" shapeId="0" xr:uid="{F99A8411-3D96-4283-AB97-00FD2CFAD8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3" authorId="0" shapeId="0" xr:uid="{517F85CE-EE41-420E-AEB8-A3AA57F329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3" authorId="0" shapeId="0" xr:uid="{C8140AB6-42B0-452C-8852-BDAB264462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3" authorId="0" shapeId="0" xr:uid="{27804391-904D-40DE-8482-1E81544BA8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3" authorId="0" shapeId="0" xr:uid="{3F2EC52C-98D7-483A-994D-0E10392F3C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3" authorId="0" shapeId="0" xr:uid="{7045B94A-B5C7-4ECE-AA0C-A11B2A91ED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3" authorId="0" shapeId="0" xr:uid="{E363A977-C582-4C47-972D-E446B311B0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3" authorId="0" shapeId="0" xr:uid="{B7AD7DB8-B084-496F-93E8-FC008545CA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3" authorId="0" shapeId="0" xr:uid="{41BCA293-6503-40F3-8B8E-F48AFB0305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3" authorId="0" shapeId="0" xr:uid="{FDA16D57-104B-460C-AB67-44C2B8ADE3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3" authorId="0" shapeId="0" xr:uid="{03FBD0E9-39ED-43D6-A1AB-C6F503141B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3" authorId="0" shapeId="0" xr:uid="{8DD596EF-C7A0-46F3-83FB-61F6B8F800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63" authorId="0" shapeId="0" xr:uid="{BBFD8F74-E35C-43F9-85C2-7F3D10CBAA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63" authorId="0" shapeId="0" xr:uid="{A11FE9CE-FE7D-40BE-9BDB-41A56A205C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63" authorId="0" shapeId="0" xr:uid="{AEC1430F-C85D-4ED6-A251-415660013A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63" authorId="0" shapeId="0" xr:uid="{FC9A9F11-AA79-4F71-A337-DF423AF630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63" authorId="0" shapeId="0" xr:uid="{4D8E91CC-3977-4730-B29C-A002051E7C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4" authorId="0" shapeId="0" xr:uid="{95E3F327-AA96-4DE4-8E5F-D01DB02228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4" authorId="0" shapeId="0" xr:uid="{1082F712-7DAD-45DC-A784-CBD9D5B658E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4" authorId="0" shapeId="0" xr:uid="{B452DEED-541F-49EC-A964-3EFA08EDE97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4" authorId="0" shapeId="0" xr:uid="{36F9F2F6-881F-4357-B3C2-9A5BFC0CB4D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4" authorId="0" shapeId="0" xr:uid="{9312E1C8-868E-4669-BE38-BAD52E0B36A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4" authorId="0" shapeId="0" xr:uid="{2B80422C-B3EE-47AC-996A-4C17A11DC4C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4" authorId="0" shapeId="0" xr:uid="{5CBE2560-87AD-4654-AA7F-64B8E64D308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4" authorId="0" shapeId="0" xr:uid="{42C428BF-8192-4696-BF42-AE2A741D483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4" authorId="0" shapeId="0" xr:uid="{80349B63-9F37-4703-9E63-EE7970247A5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4" authorId="0" shapeId="0" xr:uid="{086B401A-BFD3-4BCA-A724-335C326B0CB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4" authorId="0" shapeId="0" xr:uid="{9D1E17A4-CA70-4920-B760-3C39CDE40A3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64" authorId="0" shapeId="0" xr:uid="{6CEF38EC-14BF-41CF-BD3C-1ED4AF3AB6E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64" authorId="0" shapeId="0" xr:uid="{24661CD4-EFBE-4AB0-80E7-33C98E093F8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64" authorId="0" shapeId="0" xr:uid="{F8645869-BAB0-40D4-ABBC-89FD91A1E36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64" authorId="0" shapeId="0" xr:uid="{5288971B-8DC3-419C-B626-DE375C69CD4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64" authorId="0" shapeId="0" xr:uid="{FCDC49D8-B143-446E-B8E9-1C558B3F1EC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5" authorId="0" shapeId="0" xr:uid="{4A460741-7C95-4074-9098-0D3B3B5B8B0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5" authorId="0" shapeId="0" xr:uid="{4766ED6D-ACE4-4AF0-8A04-37C993060C7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5" authorId="0" shapeId="0" xr:uid="{28D03DFC-1F8C-4229-BF91-04E00DC1B50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5" authorId="0" shapeId="0" xr:uid="{E3D95555-F92F-47D3-A258-233556D7A6D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5" authorId="0" shapeId="0" xr:uid="{386D32AB-7211-482A-BC81-AD86285B126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5" authorId="0" shapeId="0" xr:uid="{4E3D076D-9809-4A33-AA68-23A0B018A82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5" authorId="0" shapeId="0" xr:uid="{383D0A56-0F5C-4656-8593-E2704B41549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5" authorId="0" shapeId="0" xr:uid="{073BEEF0-3DD8-4CA0-9037-09D95C106EF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5" authorId="0" shapeId="0" xr:uid="{A2DA51D0-43D4-411A-966D-F64428417A1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5" authorId="0" shapeId="0" xr:uid="{FE56FB74-8C64-45BC-9FCB-F28AB46CF8D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5" authorId="0" shapeId="0" xr:uid="{F3C73F3C-914B-4004-8D2B-3B326777AFE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65" authorId="0" shapeId="0" xr:uid="{3159C9FE-C6AF-4753-9CF0-8F2CE9E40AB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65" authorId="0" shapeId="0" xr:uid="{483562DB-C986-46B3-8C5D-9256D78159B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65" authorId="0" shapeId="0" xr:uid="{4FB7521C-2CB8-4DF4-B341-4BDEA2DEDCB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65" authorId="0" shapeId="0" xr:uid="{AA615B67-6CE8-4A88-8118-A1BD8DAD09B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65" authorId="0" shapeId="0" xr:uid="{E3DD83AC-9179-4BA3-B07A-743F88BCB69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6" authorId="0" shapeId="0" xr:uid="{8B389C89-245C-49B4-BDB7-9F57A0B587D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6" authorId="0" shapeId="0" xr:uid="{F753BB9E-733E-458B-A872-CBD0F5EB01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6" authorId="0" shapeId="0" xr:uid="{5A06C322-A85D-44B1-AB21-2276D7FF6A5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6" authorId="0" shapeId="0" xr:uid="{A3A56E90-80C9-4F39-B932-1CA999675D6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6" authorId="0" shapeId="0" xr:uid="{BC996BEF-5401-4B33-9A1A-4DD4CA3E6AC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6" authorId="0" shapeId="0" xr:uid="{98F2FE27-640D-4B65-ACA1-5F3B3431C99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6" authorId="0" shapeId="0" xr:uid="{1B0F2F9D-206C-4EDB-AE46-AAE8A918E7E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6" authorId="0" shapeId="0" xr:uid="{B00AB5E9-9194-4A08-AB1E-00C9F9FA06D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6" authorId="0" shapeId="0" xr:uid="{8DCECC6A-ADD1-49F5-A25A-A83C4926DD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6" authorId="0" shapeId="0" xr:uid="{67E11D5B-5896-4EA2-82DA-23E36C1C1F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6" authorId="0" shapeId="0" xr:uid="{3F2A6FDA-4968-4252-BD71-2E81985663A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66" authorId="0" shapeId="0" xr:uid="{61FBB4CC-EB74-4E61-AC76-2AFAA9F1D6E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66" authorId="0" shapeId="0" xr:uid="{C4E579F3-1059-4524-B793-4EF7D7FAFD4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66" authorId="0" shapeId="0" xr:uid="{EC50DD7C-81E7-4B8C-8CA7-957496DD63F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66" authorId="0" shapeId="0" xr:uid="{1A11BEEF-94CB-4F88-A505-D643443FB44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66" authorId="0" shapeId="0" xr:uid="{EDFFD920-82EC-453A-910A-1EB27CBDD0D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7" authorId="0" shapeId="0" xr:uid="{538E0E7B-304F-45CB-95BE-FAB7E13256C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7" authorId="0" shapeId="0" xr:uid="{B4AD0DCB-7B64-41EA-B9F1-B1058F29F46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7" authorId="0" shapeId="0" xr:uid="{A1D57288-BEC0-4686-BB87-51B739EEEC2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7" authorId="0" shapeId="0" xr:uid="{050577B7-B8E5-4C44-BE83-6964EF1AD67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7" authorId="0" shapeId="0" xr:uid="{B437371E-2F56-46EC-B9F8-1FCA80236C6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7" authorId="0" shapeId="0" xr:uid="{A5CBB579-B4ED-4397-8E79-A5128DFD84E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7" authorId="0" shapeId="0" xr:uid="{2BA07AEF-879A-4E6C-B605-7027F4BDB19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7" authorId="0" shapeId="0" xr:uid="{9681A1A4-2C84-4B68-9E71-CD6E98A0439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7" authorId="0" shapeId="0" xr:uid="{0068AC71-DE46-4271-8616-D9AF57BD3C8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7" authorId="0" shapeId="0" xr:uid="{74E77882-CE06-41CA-B2A0-305096EDB6F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7" authorId="0" shapeId="0" xr:uid="{7FAA7956-66E6-4187-97F5-B4F7385A348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67" authorId="0" shapeId="0" xr:uid="{206809D1-D4B1-488F-91AC-54C8DEE606D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67" authorId="0" shapeId="0" xr:uid="{5B0436E3-146C-40B4-A95B-7721FE667C4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67" authorId="0" shapeId="0" xr:uid="{3A0C51A7-1298-4FF3-92F9-82E01B11003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67" authorId="0" shapeId="0" xr:uid="{22B6BDA0-4714-4F76-A8B9-3D8639690E2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67" authorId="0" shapeId="0" xr:uid="{E33F7C4C-8A58-421D-AF3B-402C185B739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8" authorId="0" shapeId="0" xr:uid="{77D4EB6D-40E0-494D-B683-9759F2CCD9C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8" authorId="0" shapeId="0" xr:uid="{124683AF-F5A2-4BC8-9FDF-69E0EA829BE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8" authorId="0" shapeId="0" xr:uid="{E14922CF-5B8E-406F-8DED-A6204F1597B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8" authorId="0" shapeId="0" xr:uid="{9431B39A-56D1-4EB2-A7FC-D0A3E2911E2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8" authorId="0" shapeId="0" xr:uid="{AB543A51-33AC-4040-9783-B864D67F22E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8" authorId="0" shapeId="0" xr:uid="{9643FF4A-738D-48B0-8C94-92C36F7AF07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8" authorId="0" shapeId="0" xr:uid="{848217C2-5761-44B7-BE57-0AB68686B6F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8" authorId="0" shapeId="0" xr:uid="{51FAE470-8378-4987-B899-DD6806A608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8" authorId="0" shapeId="0" xr:uid="{B1C22B67-1276-430F-A663-0C114DF0581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8" authorId="0" shapeId="0" xr:uid="{A1346C78-8160-4F1D-B8AC-019DC73A9AC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8" authorId="0" shapeId="0" xr:uid="{8C8B24FF-2FCF-44FE-B448-95D1366B493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68" authorId="0" shapeId="0" xr:uid="{06C021C4-3121-41C0-B986-8DEFFE782C1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68" authorId="0" shapeId="0" xr:uid="{653CCF41-49E9-43C1-9995-376E1EA5A6C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68" authorId="0" shapeId="0" xr:uid="{AAD53066-7CDF-4ABF-9BCC-E663880C7D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68" authorId="0" shapeId="0" xr:uid="{45DA3C01-1473-40AF-8CFE-39BB1721C1E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68" authorId="0" shapeId="0" xr:uid="{C8D3AD21-708C-4BA3-B7C7-A8DA4FB4571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9" authorId="0" shapeId="0" xr:uid="{66BDA939-B97D-4772-AE3B-D791CBD6DCF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9" authorId="0" shapeId="0" xr:uid="{9C914C9E-4A59-4DF8-B963-54D72B92B5F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9" authorId="0" shapeId="0" xr:uid="{91D2193C-6622-4044-9436-3D8FD07F938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9" authorId="0" shapeId="0" xr:uid="{CC446085-6048-4789-8EAC-93FEA81D5D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9" authorId="0" shapeId="0" xr:uid="{FE89CDB1-6615-4A26-93E1-AC680B14BAB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9" authorId="0" shapeId="0" xr:uid="{D5D9F287-EC1A-4140-9D51-2D73AC1DE6A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9" authorId="0" shapeId="0" xr:uid="{CFE72AA7-CE05-4C7E-B1F9-0ADE230F01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9" authorId="0" shapeId="0" xr:uid="{CF55E7DC-F7BB-48E8-AD77-1703D53730D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9" authorId="0" shapeId="0" xr:uid="{F222CB43-DD84-41DA-B2EC-695C9E5545D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9" authorId="0" shapeId="0" xr:uid="{7AD15AD5-7510-42EA-B6E5-39C6AB8D4C0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9" authorId="0" shapeId="0" xr:uid="{8CE41880-88CE-4182-B4AF-827436E9725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69" authorId="0" shapeId="0" xr:uid="{E52BA3DE-6BE7-4E04-B6E6-9E71264915D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69" authorId="0" shapeId="0" xr:uid="{4CE0B74E-452C-4A1B-A303-A15A112B474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69" authorId="0" shapeId="0" xr:uid="{01D9BE67-1CD0-4992-B5B4-5FD61743880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69" authorId="0" shapeId="0" xr:uid="{25949CDF-64DC-4CBB-A987-DAB387AA81D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69" authorId="0" shapeId="0" xr:uid="{8028FADC-8452-4D74-97B1-BB59E8DC03F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0" authorId="0" shapeId="0" xr:uid="{7D27AA4A-2099-4E12-809C-EBEF869BD3F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0" authorId="0" shapeId="0" xr:uid="{03579B95-85EB-485A-A707-A2625693CD8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0" authorId="0" shapeId="0" xr:uid="{5A38AD29-E71F-43EF-9473-2A4B916B47A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0" authorId="0" shapeId="0" xr:uid="{815BA49B-2212-4C7B-8096-4F02BFD153B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0" authorId="0" shapeId="0" xr:uid="{67C679EE-2EF1-481D-9EA2-42EA908BC2D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0" authorId="0" shapeId="0" xr:uid="{85AF2909-79FC-488F-A830-3B3BFE71BC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0" authorId="0" shapeId="0" xr:uid="{89E0F360-0173-4E15-BDA6-D3A9839BD2B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0" authorId="0" shapeId="0" xr:uid="{37DC7F97-A019-482D-BB2F-50D8B429F19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0" authorId="0" shapeId="0" xr:uid="{FDD96623-D6C4-4A72-AF4F-4C812805DAC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0" authorId="0" shapeId="0" xr:uid="{EC326E5E-DA86-4CAF-BABC-EFFFEC66508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0" authorId="0" shapeId="0" xr:uid="{B020108A-CE1C-4D38-AD64-F1EB68786A0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70" authorId="0" shapeId="0" xr:uid="{D285ADE9-3FA5-42CF-9ACA-7A2E4BFE977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70" authorId="0" shapeId="0" xr:uid="{476F1B02-0A1F-4B77-8FA4-5F4ABD923B3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70" authorId="0" shapeId="0" xr:uid="{619CDC6C-FDAC-4DF9-9933-18F51325E6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70" authorId="0" shapeId="0" xr:uid="{08160422-003A-40EC-94C8-09AFBF5CD61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70" authorId="0" shapeId="0" xr:uid="{36731CD8-5C55-4F01-B1A6-4C84BF4E2F4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1" authorId="0" shapeId="0" xr:uid="{363E9FD4-B846-47B6-88A8-B22C82CCAC1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1" authorId="0" shapeId="0" xr:uid="{59EF4C5E-DC5C-4DCE-BF8A-EAD822047C9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1" authorId="0" shapeId="0" xr:uid="{D1A37969-97E2-4DA4-A303-EE36F7A9F70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1" authorId="0" shapeId="0" xr:uid="{9B8E60BA-4621-439A-B46C-33617806340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1" authorId="0" shapeId="0" xr:uid="{279EC952-849A-4E59-90A1-2BC2F5554EC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1" authorId="0" shapeId="0" xr:uid="{1FD962DA-BC79-4309-8883-65DFD7F1D2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1" authorId="0" shapeId="0" xr:uid="{389CCA26-7B44-4EC6-945D-185A94EA7BC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1" authorId="0" shapeId="0" xr:uid="{D5B2BB4A-B503-46A6-8AA6-621371F48B0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1" authorId="0" shapeId="0" xr:uid="{078733AB-E119-4D02-A979-29E78868839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1" authorId="0" shapeId="0" xr:uid="{8DD773F2-AE1E-4B04-AD5E-1C8EFCE43A4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1" authorId="0" shapeId="0" xr:uid="{34B97928-70FD-45F7-AA07-539A0A7DA2F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71" authorId="0" shapeId="0" xr:uid="{2BED5079-339C-4F09-93CB-4350714604B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71" authorId="0" shapeId="0" xr:uid="{3FE1D92B-D16E-4969-B10A-D5D69772F87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71" authorId="0" shapeId="0" xr:uid="{0C26B149-2105-4EB3-A0CE-D10BF952FD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71" authorId="0" shapeId="0" xr:uid="{D7AB6C49-D832-4CCC-92FA-E86E37B4223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71" authorId="0" shapeId="0" xr:uid="{DBFBA12C-0B1B-4E17-9D93-40B9D81E35C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4" authorId="0" shapeId="0" xr:uid="{E9282B35-67F5-476C-B622-F68C36C3CC7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4" authorId="0" shapeId="0" xr:uid="{2E2CDF72-D96D-46C3-9BF2-692A96DD1BE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4" authorId="0" shapeId="0" xr:uid="{1F6E0E21-E92A-4E39-B1BB-C99D1558BCE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4" authorId="0" shapeId="0" xr:uid="{92009B8A-ECA1-4A1C-873A-A633724457E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4" authorId="0" shapeId="0" xr:uid="{966DDC91-1980-4210-93F9-C1299D7EE96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4" authorId="0" shapeId="0" xr:uid="{6A73FAED-DB3A-4392-91B6-5B8ABE98F23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4" authorId="0" shapeId="0" xr:uid="{23073421-A32A-4528-8669-758D8C573BB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4" authorId="0" shapeId="0" xr:uid="{81239E3D-58D4-482F-8962-77B7011CFD9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4" authorId="0" shapeId="0" xr:uid="{21F9E6AA-322A-44A9-9C90-80C39B9A94A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4" authorId="0" shapeId="0" xr:uid="{37094A6E-311B-4891-9D32-EEB64CD7348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4" authorId="0" shapeId="0" xr:uid="{2FA37F83-AE2A-42BF-B627-1303ED27673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74" authorId="0" shapeId="0" xr:uid="{CB44C8A3-A839-4F63-BDB9-E16357F4496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74" authorId="0" shapeId="0" xr:uid="{C401268E-8DF5-47CC-B6F1-2C3A896D3F6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74" authorId="0" shapeId="0" xr:uid="{EEDC37E5-362C-4EFC-AF14-51842306A1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74" authorId="0" shapeId="0" xr:uid="{1E2778C2-9D44-4A50-A196-AACF948AE23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74" authorId="0" shapeId="0" xr:uid="{861A6BBE-A4E4-4CF4-8515-A5B8FEB595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5" authorId="0" shapeId="0" xr:uid="{F6CCD9BE-BA50-40F5-9484-F8A220D244C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5" authorId="0" shapeId="0" xr:uid="{7A1E90B1-104B-4A3C-B206-60761ED4E00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5" authorId="0" shapeId="0" xr:uid="{8CF9FB68-1BF5-4FD9-902E-27016E912CE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5" authorId="0" shapeId="0" xr:uid="{7DF41115-AE21-4A59-AA4D-E3B09E6CEEC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5" authorId="0" shapeId="0" xr:uid="{E25684CC-7305-4EC1-98F3-94DF970F663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5" authorId="0" shapeId="0" xr:uid="{AFC3FC7D-419C-41E7-9221-EBF5AFCC915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5" authorId="0" shapeId="0" xr:uid="{71E4793D-33CF-4E2C-A933-B2C3E6E994B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5" authorId="0" shapeId="0" xr:uid="{CDD4E093-71B4-442E-9B78-9427DA3E0DF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5" authorId="0" shapeId="0" xr:uid="{96027BD9-528F-4AF3-A338-5CF3F507FB3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5" authorId="0" shapeId="0" xr:uid="{5C1495A2-6769-4FAB-BD4C-FE9D1E9930C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5" authorId="0" shapeId="0" xr:uid="{0CF185EC-04D5-47B3-85FA-4C965BA511A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75" authorId="0" shapeId="0" xr:uid="{72102CB8-FE04-4627-84D7-8D7A1324DE2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75" authorId="0" shapeId="0" xr:uid="{563F1CAD-1B6C-4AED-BE63-0CDCCE7BB65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75" authorId="0" shapeId="0" xr:uid="{F29B3CE9-3E44-4406-ADB3-97EABE36979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75" authorId="0" shapeId="0" xr:uid="{DF4813D9-81A6-474B-88D9-B00BCD57325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75" authorId="0" shapeId="0" xr:uid="{6A7FA573-F1A2-4788-9278-DE12EB7C3C1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6" authorId="0" shapeId="0" xr:uid="{ADBA4245-583D-42F0-ADD0-A5AAA86B831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6" authorId="0" shapeId="0" xr:uid="{286F9117-FD06-46BD-BF1C-324C6EDD610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6" authorId="0" shapeId="0" xr:uid="{2591513C-C116-4878-9B64-FF0DF5E3526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6" authorId="0" shapeId="0" xr:uid="{64B08AEE-816A-424D-A721-B8BCFFF7C74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6" authorId="0" shapeId="0" xr:uid="{309CFE7C-501D-4B8C-A732-43FE00B5669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6" authorId="0" shapeId="0" xr:uid="{18860F74-FB56-4230-8BDA-95BBC9B8206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6" authorId="0" shapeId="0" xr:uid="{A80CB9C0-DE60-4619-BB93-77EDFDC986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6" authorId="0" shapeId="0" xr:uid="{7C039776-4314-48E7-97F4-6ED5D2AE84D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6" authorId="0" shapeId="0" xr:uid="{0BC705AD-FF95-4EAE-BE58-800C3645FCC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6" authorId="0" shapeId="0" xr:uid="{114509F6-F4F1-4FE9-B96B-52616592734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6" authorId="0" shapeId="0" xr:uid="{55A6E942-9CAB-483D-A965-34606572177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76" authorId="0" shapeId="0" xr:uid="{1CA9494A-A317-41FD-A92D-EBE459BD51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76" authorId="0" shapeId="0" xr:uid="{E63A3622-9765-489C-9913-6BD635E9A31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76" authorId="0" shapeId="0" xr:uid="{D70B5DBA-B8A4-469C-8C18-8BEE9A827DA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76" authorId="0" shapeId="0" xr:uid="{B9075411-2726-40E1-B3AE-EF50038D01F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76" authorId="0" shapeId="0" xr:uid="{6A1F6E6F-336B-464D-B117-B3666EB1D73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7" authorId="0" shapeId="0" xr:uid="{3D96DBB7-E619-4710-8D14-98D42CF4E7D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7" authorId="0" shapeId="0" xr:uid="{0423975C-0385-480E-B7F0-46448433A0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7" authorId="0" shapeId="0" xr:uid="{942AC9E4-7E72-4368-B9AD-08F869B96C1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7" authorId="0" shapeId="0" xr:uid="{C4C7B408-8EA9-4854-B84B-452ADF4F641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7" authorId="0" shapeId="0" xr:uid="{383E70A5-617F-4927-B467-458F00C2BDF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7" authorId="0" shapeId="0" xr:uid="{6E24959A-55C0-4ED7-ABE0-76ED1484874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7" authorId="0" shapeId="0" xr:uid="{5784C2BB-5BD7-4B53-A65D-4ABF019D58C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7" authorId="0" shapeId="0" xr:uid="{4E7EA2C3-4526-4F04-B2DD-F805E0E6C88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7" authorId="0" shapeId="0" xr:uid="{A1B901FE-69EA-4F9C-A71F-EDDDB9A063D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7" authorId="0" shapeId="0" xr:uid="{C4ED3889-B562-48C7-965F-FC7FC941610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7" authorId="0" shapeId="0" xr:uid="{A26E47EE-564D-4DC8-9FF1-0E72376999F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77" authorId="0" shapeId="0" xr:uid="{DD1AC994-57D2-46E3-BF11-A4F7ED91CA0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77" authorId="0" shapeId="0" xr:uid="{EB08E507-D782-44DA-990E-696C07C434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77" authorId="0" shapeId="0" xr:uid="{967A702F-DD5B-45A9-A884-2D1D2F67C13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77" authorId="0" shapeId="0" xr:uid="{50FD2604-A4BD-43A1-BA62-00DEE74F742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77" authorId="0" shapeId="0" xr:uid="{3DFAB683-9D34-428C-A764-8FF0449EFBD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8" authorId="0" shapeId="0" xr:uid="{C6B84FBC-6166-4DD5-BD3A-41ECB9E6A1E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8" authorId="0" shapeId="0" xr:uid="{88C6EE31-DF1A-4423-81CC-27F19D9E2EA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8" authorId="0" shapeId="0" xr:uid="{34169312-BB05-4517-911F-3996A4F6E5E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8" authorId="0" shapeId="0" xr:uid="{1E4386D4-2A30-44E4-8A2E-0BBF62099A8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8" authorId="0" shapeId="0" xr:uid="{D33130AA-B329-4F95-BB36-E6425AE448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8" authorId="0" shapeId="0" xr:uid="{489C2052-2154-46C2-8F68-87A72A000E1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8" authorId="0" shapeId="0" xr:uid="{6D74D668-7643-456C-9CB5-BBDA3978603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8" authorId="0" shapeId="0" xr:uid="{5CC9A6DA-10EC-4E90-9F52-2094516D5FF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8" authorId="0" shapeId="0" xr:uid="{C76CA56A-F5C9-49F7-A2E7-7126FB4E19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8" authorId="0" shapeId="0" xr:uid="{BCF61226-8B3B-4420-A2A1-5B96A2DDF60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8" authorId="0" shapeId="0" xr:uid="{D21A076C-A6D7-4988-AD52-93489181381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78" authorId="0" shapeId="0" xr:uid="{0834F570-DFB1-48B4-9E80-674A63F7D71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78" authorId="0" shapeId="0" xr:uid="{5EE61848-BA0E-4A30-85B8-3421F74FC6F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78" authorId="0" shapeId="0" xr:uid="{D1B3A5E9-56E8-4A3C-81EC-B22B8C2650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78" authorId="0" shapeId="0" xr:uid="{3961F893-799B-43E5-AD23-34034E41F63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78" authorId="0" shapeId="0" xr:uid="{B2816DF2-BAD1-45F7-A75F-B58DE8C8038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9" authorId="0" shapeId="0" xr:uid="{1B1644E0-A6E2-4D7C-B10D-8C26ABD11D5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9" authorId="0" shapeId="0" xr:uid="{95BA0478-8031-4CD1-A90D-5BF6582F347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9" authorId="0" shapeId="0" xr:uid="{6AA3BBAC-4A54-412C-9D14-9D9B15D0201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9" authorId="0" shapeId="0" xr:uid="{EAA35C56-7B2F-464A-8BEF-4EC1CE13744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9" authorId="0" shapeId="0" xr:uid="{3B2342A5-F6C3-4B60-9EB6-95ED887CC4E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9" authorId="0" shapeId="0" xr:uid="{67183FA5-9B87-455C-8FCC-30801DF0073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9" authorId="0" shapeId="0" xr:uid="{3F618EA6-854F-44C2-8620-91F144DE04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9" authorId="0" shapeId="0" xr:uid="{3823BC22-ECF8-4267-BD83-AFDE0853B58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9" authorId="0" shapeId="0" xr:uid="{F553621E-4292-4D20-87D5-5EC989C4BF1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9" authorId="0" shapeId="0" xr:uid="{BD3010F8-31CD-4149-96F9-1B7F6D621D2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9" authorId="0" shapeId="0" xr:uid="{32AA47C6-0C98-49BA-B7BE-22329BBCBE8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79" authorId="0" shapeId="0" xr:uid="{67F6669A-1488-4144-B0E9-CA0E489D867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79" authorId="0" shapeId="0" xr:uid="{803AC5C5-6EB8-4842-AAF2-E4855BD665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79" authorId="0" shapeId="0" xr:uid="{F8924A3F-DAD4-44EB-9CAE-28B465A068B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79" authorId="0" shapeId="0" xr:uid="{6BEF9622-2BE7-4E58-9414-08686F5CA2B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79" authorId="0" shapeId="0" xr:uid="{0D8C8AF9-1288-49A0-968A-30ED6CE70D9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0" authorId="0" shapeId="0" xr:uid="{0403E01E-0EA3-455E-84FF-477B7F90FD0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0" authorId="0" shapeId="0" xr:uid="{A79E9282-B281-4007-B6C6-A67267B34DF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0" authorId="0" shapeId="0" xr:uid="{C78D3F8B-F9DE-4E3A-A14B-2F3DB944BCC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0" authorId="0" shapeId="0" xr:uid="{224D7590-9E5C-45E3-873D-0015A61F296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0" authorId="0" shapeId="0" xr:uid="{91F5DE33-CA01-4B48-B4F1-120725F785C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0" authorId="0" shapeId="0" xr:uid="{2572FEBE-5A5B-49ED-B2F0-3B308D9BCF7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0" authorId="0" shapeId="0" xr:uid="{CFBB0B31-B1E0-42B9-9139-2B5182FD66E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0" authorId="0" shapeId="0" xr:uid="{BD944790-D93D-4323-BF7C-9D9DCC8FB39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0" authorId="0" shapeId="0" xr:uid="{40FD132E-BF8A-4838-83CE-12ACC536BF8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0" authorId="0" shapeId="0" xr:uid="{84AE919A-D9F9-445F-B236-0CC3B7B8CE7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0" authorId="0" shapeId="0" xr:uid="{95E12B0D-0E5D-4289-B8DD-1E37D0DD2F0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80" authorId="0" shapeId="0" xr:uid="{FCA62D8F-4A88-4C58-B136-EB16099402F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80" authorId="0" shapeId="0" xr:uid="{0A4A7D91-F8F0-45BE-AD47-53D0E20651E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80" authorId="0" shapeId="0" xr:uid="{55E69030-0A71-4EC0-8E10-8EF9CC0AB76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80" authorId="0" shapeId="0" xr:uid="{4A70BA38-81DB-43CF-ADA2-2A87199901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80" authorId="0" shapeId="0" xr:uid="{D94B9DDE-A450-4569-9F9D-1EFC0EC2DD1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1" authorId="0" shapeId="0" xr:uid="{4F9A3B49-D0C0-462A-B8DD-12F8168D547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1" authorId="0" shapeId="0" xr:uid="{FD4E901E-CD38-4865-940A-BBFB2204394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1" authorId="0" shapeId="0" xr:uid="{13541567-9957-4519-8DAB-FD5AB42BB6F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1" authorId="0" shapeId="0" xr:uid="{6F2DB3B1-19CC-4E95-B713-3B17CE8F071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1" authorId="0" shapeId="0" xr:uid="{3448EB86-479F-4357-A769-93A6399991B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1" authorId="0" shapeId="0" xr:uid="{EF054721-21B6-44C9-958D-E33E46DD991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1" authorId="0" shapeId="0" xr:uid="{9B0336D7-4002-4B53-B708-F21D8C9EC02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1" authorId="0" shapeId="0" xr:uid="{DF30F96C-D7FD-4B54-92BB-A861EADBBBD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1" authorId="0" shapeId="0" xr:uid="{7F039940-6F34-4EAA-B70A-A65E84C8712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1" authorId="0" shapeId="0" xr:uid="{FF651F51-07BE-43B9-B94A-E18749A8635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1" authorId="0" shapeId="0" xr:uid="{0B9CCF8B-C0E6-492D-80AA-2F83F09046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81" authorId="0" shapeId="0" xr:uid="{D7ED0336-97C7-4B8E-A789-EBC83547F0B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81" authorId="0" shapeId="0" xr:uid="{A0706CEE-5714-41FB-9042-F9A8C6D7BF7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81" authorId="0" shapeId="0" xr:uid="{596FAF63-B844-42E6-B6B3-A6666FD0998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81" authorId="0" shapeId="0" xr:uid="{56F27C83-1FEB-47B7-85A7-8BA8CC31A22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81" authorId="0" shapeId="0" xr:uid="{D68EC61B-890F-4FB4-9E12-C2F26778638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2" authorId="0" shapeId="0" xr:uid="{DA30A6E0-EF1A-489B-AFA0-7A4AC8F801E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2" authorId="0" shapeId="0" xr:uid="{7797A4CD-74F3-4641-B1DB-1BA3C894493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2" authorId="0" shapeId="0" xr:uid="{94B611DC-0935-49A6-BB5A-2395237FA0D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2" authorId="0" shapeId="0" xr:uid="{03E71BF0-CA6F-4F3A-B1EE-D7769E64863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2" authorId="0" shapeId="0" xr:uid="{7B67CF49-39B8-47BE-82BF-15DE7FE2417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2" authorId="0" shapeId="0" xr:uid="{CB9512DD-F890-4D63-A0DF-05F592CE998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2" authorId="0" shapeId="0" xr:uid="{46E1ECF0-EBAF-451E-9C18-D1446D0AF27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2" authorId="0" shapeId="0" xr:uid="{9773E770-E5B8-41CF-B623-1F6C705614F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2" authorId="0" shapeId="0" xr:uid="{86D5CC9E-F233-4CD8-9605-A01F22DFA18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2" authorId="0" shapeId="0" xr:uid="{24F2800A-E1D6-4E1A-BFE0-C8C14CADB47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2" authorId="0" shapeId="0" xr:uid="{F5BF1D8A-E21F-416F-BE2C-4DC0C6AA7D4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82" authorId="0" shapeId="0" xr:uid="{02CD2A70-8C64-4426-9C64-7BE345CCD0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82" authorId="0" shapeId="0" xr:uid="{627F7C70-EB40-46AE-9461-2EABEDCD89B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82" authorId="0" shapeId="0" xr:uid="{D297123E-72C3-49F1-B648-07FF13BFD04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82" authorId="0" shapeId="0" xr:uid="{0F063C5D-5091-40EB-82E2-6D4BBFCA0C1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82" authorId="0" shapeId="0" xr:uid="{33063783-EE97-4594-AD52-0FE07B91CA9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3" authorId="0" shapeId="0" xr:uid="{6D71C760-A070-446F-8144-9DE8EA86357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3" authorId="0" shapeId="0" xr:uid="{E1744C0A-A97F-4372-ACC3-1A6B635E561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3" authorId="0" shapeId="0" xr:uid="{68C09330-E143-4AC6-9BD8-5160BFC93DA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3" authorId="0" shapeId="0" xr:uid="{4A4C13C4-DFA4-4338-B1F7-B174AAA548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3" authorId="0" shapeId="0" xr:uid="{3BA0BD3F-B624-4554-BD05-222FF989A88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3" authorId="0" shapeId="0" xr:uid="{4D86E6E7-0076-45E0-B852-F7B16D00C2D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3" authorId="0" shapeId="0" xr:uid="{2F1BE7E4-8316-4F96-8BFD-D39B30CA546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3" authorId="0" shapeId="0" xr:uid="{06886103-1BC2-475E-BA6E-EBBA141DBEE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3" authorId="0" shapeId="0" xr:uid="{0E97D10D-52BC-4AE2-AFF8-6B7EDA56628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3" authorId="0" shapeId="0" xr:uid="{2CBF556B-CC8C-4CF4-914E-0E47FED552B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3" authorId="0" shapeId="0" xr:uid="{D36B25AC-CAAB-4496-95CA-658A283BA21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83" authorId="0" shapeId="0" xr:uid="{25B68DD1-3960-43AB-BD86-4831EDDFD42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83" authorId="0" shapeId="0" xr:uid="{F692701C-DC2F-498D-BE05-424EDAA430D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83" authorId="0" shapeId="0" xr:uid="{4AC5F3F3-ED0D-4962-9BF2-15F59653C55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83" authorId="0" shapeId="0" xr:uid="{BF7A10A5-8F89-4647-85D4-2995AE50009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83" authorId="0" shapeId="0" xr:uid="{643585A6-C162-4D30-A6BC-251D337DD14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4" authorId="0" shapeId="0" xr:uid="{41F5163D-6E90-4DCC-9A4F-BF6BF5CB024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4" authorId="0" shapeId="0" xr:uid="{E9C07AA9-8E51-4EBF-9367-2777DD9C6B9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4" authorId="0" shapeId="0" xr:uid="{CD655E21-B4E0-42E7-AE43-BDCA5961464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4" authorId="0" shapeId="0" xr:uid="{7CCAF21B-F2EB-4EE8-B80A-F265D0C1621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4" authorId="0" shapeId="0" xr:uid="{C06AA3CD-B36F-4EA0-A26A-A6E98150FE5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4" authorId="0" shapeId="0" xr:uid="{1839D92B-A7A2-4B6E-BD57-387B9E222D1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4" authorId="0" shapeId="0" xr:uid="{D3A57BE8-9726-4286-AF5F-80B0617607D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4" authorId="0" shapeId="0" xr:uid="{CB32AC8C-3F65-4FB0-AD0F-56FF6B9F051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4" authorId="0" shapeId="0" xr:uid="{8EB3ECE3-A325-48D7-9815-914B3C22DBF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4" authorId="0" shapeId="0" xr:uid="{F627B9EE-A46E-4B6E-A53B-ADCC4AE5BC3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4" authorId="0" shapeId="0" xr:uid="{BF440B06-6F09-4C60-B7D8-769E7D1EC24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84" authorId="0" shapeId="0" xr:uid="{29E6414F-CA9C-44B8-8206-F4A2235151C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84" authorId="0" shapeId="0" xr:uid="{F8C2D5F7-4C86-483F-852A-612AB3D6DEC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84" authorId="0" shapeId="0" xr:uid="{B3E50669-A25A-455C-8512-341A1A560B4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84" authorId="0" shapeId="0" xr:uid="{AB205429-53C8-4F7A-9B70-601C7F10325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84" authorId="0" shapeId="0" xr:uid="{4A2C499E-4C53-4775-A835-22944C748BB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5" authorId="0" shapeId="0" xr:uid="{2EA180DB-18DD-4A8B-831E-FFCD5D146C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5" authorId="0" shapeId="0" xr:uid="{17E32B9C-24FA-49DA-B98F-ED4DBEDDF5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5" authorId="0" shapeId="0" xr:uid="{4C01B355-D506-465C-B568-C1A9423DB9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5" authorId="0" shapeId="0" xr:uid="{072BA605-B3DC-4055-A88B-C33170612A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5" authorId="0" shapeId="0" xr:uid="{FAD591DF-2769-41D1-A4D9-5FE61577F4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5" authorId="0" shapeId="0" xr:uid="{D3B731F5-E86F-45A3-B383-3056F9E6FE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85" authorId="0" shapeId="0" xr:uid="{629AD5C9-45D7-455A-B4A6-9050EA8347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85" authorId="0" shapeId="0" xr:uid="{5C74CEE6-A2C8-4E77-9AC9-966C41313B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85" authorId="0" shapeId="0" xr:uid="{D1C52881-E9C0-4679-ADB7-0091B7130E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85" authorId="0" shapeId="0" xr:uid="{0043E458-7E76-4408-BA5F-EE19F94C2C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85" authorId="0" shapeId="0" xr:uid="{DCAEFA1D-C488-4C3D-86B6-CE1CC38372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85" authorId="0" shapeId="0" xr:uid="{18C5A69B-06D2-4469-ADC1-84C1BD3B81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85" authorId="0" shapeId="0" xr:uid="{379C54A7-18CB-435B-BF0C-FCC91CD798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85" authorId="0" shapeId="0" xr:uid="{C523B90B-6ACC-4D8C-8412-77FC9CF46C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85" authorId="0" shapeId="0" xr:uid="{47192ED0-446E-4C3D-930C-BBB1837359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85" authorId="0" shapeId="0" xr:uid="{20ED682D-C951-45B1-89E1-4226353CA7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6" authorId="0" shapeId="0" xr:uid="{519B7EC7-9A37-42D2-B1A0-3DCBCB139C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6" authorId="0" shapeId="0" xr:uid="{77F7EB09-FF5F-4F04-8B70-4BE16207AD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6" authorId="0" shapeId="0" xr:uid="{529AD0F6-1146-477C-9C21-0F467AE685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6" authorId="0" shapeId="0" xr:uid="{5873FB42-F205-4530-A82F-BB1D6D9185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6" authorId="0" shapeId="0" xr:uid="{B5B427A4-B2B8-435C-B662-2551952576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6" authorId="0" shapeId="0" xr:uid="{9F3FA853-0DEC-4B2C-9D0A-C13D093308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6" authorId="0" shapeId="0" xr:uid="{A71440AB-B28D-498B-ACD9-0788C194F8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6" authorId="0" shapeId="0" xr:uid="{839D3DC6-D660-43B0-902F-EC1C4795C5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6" authorId="0" shapeId="0" xr:uid="{DCE52B9E-6063-401F-9357-688E169FD0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6" authorId="0" shapeId="0" xr:uid="{57456EDD-DFAD-476A-8534-6ABB786814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6" authorId="0" shapeId="0" xr:uid="{AC962456-A59A-41C1-A5CE-2EB418DD9F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86" authorId="0" shapeId="0" xr:uid="{16CF1A90-F95F-473C-924B-49F6C60FB3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86" authorId="0" shapeId="0" xr:uid="{D3EABC8E-3373-4378-AD0F-997888DBF4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86" authorId="0" shapeId="0" xr:uid="{3318CCE2-4DD2-4CEC-B02A-6E8ED4BD7B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86" authorId="0" shapeId="0" xr:uid="{6FF7C6ED-054C-4CDD-AD56-C602C0FBEC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86" authorId="0" shapeId="0" xr:uid="{69542586-9A56-4464-96F7-40AF8BE4F2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7" authorId="0" shapeId="0" xr:uid="{F3D35B41-7C75-44E1-A538-FB125082DAD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7" authorId="0" shapeId="0" xr:uid="{FF31828F-8D55-4298-9E2D-5D0546A6A75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7" authorId="0" shapeId="0" xr:uid="{B6D1783D-65B8-4DB1-96F3-CDE66B020F1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7" authorId="0" shapeId="0" xr:uid="{00614F05-0D42-4863-9628-B97744958F1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7" authorId="0" shapeId="0" xr:uid="{CFCE9699-C87C-4D38-B5E5-A67757EB681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7" authorId="0" shapeId="0" xr:uid="{B56BA26A-A2AA-4EE4-83B5-9D5F9C5AA59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7" authorId="0" shapeId="0" xr:uid="{08252FC9-14DA-4458-8CD9-085BB191082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7" authorId="0" shapeId="0" xr:uid="{9517A908-C2D4-4E0B-ADF5-33D6EBDF198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7" authorId="0" shapeId="0" xr:uid="{D2EFA75D-EB64-49C3-9010-50B28D27DB7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7" authorId="0" shapeId="0" xr:uid="{2FD18A36-FBB8-40EE-8575-6E5EF8D6A5A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7" authorId="0" shapeId="0" xr:uid="{A2195C6D-72B6-4D6C-81BB-5151DA6142A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87" authorId="0" shapeId="0" xr:uid="{15877DAF-AFC7-48F8-9358-54FD26704CA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87" authorId="0" shapeId="0" xr:uid="{872AFC32-AAB6-4E04-9131-FE7DEE3423D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87" authorId="0" shapeId="0" xr:uid="{7A65843C-E64F-4868-9718-A75633BA035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87" authorId="0" shapeId="0" xr:uid="{79F815F0-40CC-4C32-A099-79CAE802E26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87" authorId="0" shapeId="0" xr:uid="{68B9FDAA-AF38-4C04-8188-088F9B07815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8" authorId="0" shapeId="0" xr:uid="{48190BA8-5CB1-49E7-A3B8-66ED4E9F561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8" authorId="0" shapeId="0" xr:uid="{929D4134-F28A-4855-92A1-38FF137013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8" authorId="0" shapeId="0" xr:uid="{9A6AA5DE-377F-47A1-AA1A-921C6AFA9F7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8" authorId="0" shapeId="0" xr:uid="{14B0D77D-B948-440A-AE7A-94EF03CBE47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8" authorId="0" shapeId="0" xr:uid="{BE74F194-F043-4A67-A292-AE2A163A0C5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8" authorId="0" shapeId="0" xr:uid="{1221EA27-D424-4A64-B567-F9EA07F726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8" authorId="0" shapeId="0" xr:uid="{DE345A3B-02BA-420F-BCDE-E4B6BDE160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8" authorId="0" shapeId="0" xr:uid="{0839356B-4CF5-4742-952E-1E51EB5FCB7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8" authorId="0" shapeId="0" xr:uid="{4F21DF66-7051-476C-AFCC-DC04F86E236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8" authorId="0" shapeId="0" xr:uid="{9A9C53C2-DCAB-4FA5-BCD3-494ECE04D1E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8" authorId="0" shapeId="0" xr:uid="{0B7B6854-00B4-4F8A-AAB0-CC9DFE2A65B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88" authorId="0" shapeId="0" xr:uid="{76DD09AF-A884-4DE7-9045-F9C799C79C3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88" authorId="0" shapeId="0" xr:uid="{A0562485-C646-4135-A249-6767F1DDA89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88" authorId="0" shapeId="0" xr:uid="{C904C1C1-4B6E-40C5-B004-A2DA0039898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88" authorId="0" shapeId="0" xr:uid="{C71CE609-04CF-4CC3-90D2-BBE39E01F85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88" authorId="0" shapeId="0" xr:uid="{BD592777-7485-4CB2-8528-5656339B249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9" authorId="0" shapeId="0" xr:uid="{90E9D0C8-5F09-4667-890D-D195C025BD4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9" authorId="0" shapeId="0" xr:uid="{70E4497A-9AD3-4555-8DB6-AA8E57241C4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9" authorId="0" shapeId="0" xr:uid="{005073C9-81B5-4FF5-9CDE-511F64FE502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9" authorId="0" shapeId="0" xr:uid="{79B11B31-B7D7-4740-9FEC-9E39E851FFD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9" authorId="0" shapeId="0" xr:uid="{5A5D96D7-2445-487C-90D0-D273DF66747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9" authorId="0" shapeId="0" xr:uid="{745B5298-7BE1-48C3-AB52-F4687B23492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9" authorId="0" shapeId="0" xr:uid="{50B3D671-36D1-4F50-8B5F-E5F80E504C9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9" authorId="0" shapeId="0" xr:uid="{6A7D10B4-3F13-4238-8185-4CE9B5864A1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9" authorId="0" shapeId="0" xr:uid="{8FB53E34-AB80-453E-B1E0-CE46F04161B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9" authorId="0" shapeId="0" xr:uid="{B45A7B8F-C34B-46C2-93D1-1627BD831C3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9" authorId="0" shapeId="0" xr:uid="{BBDD5426-8607-45A1-9D13-96D3AB3AE41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89" authorId="0" shapeId="0" xr:uid="{476951AA-6D64-4028-8EC5-CC84213AE4B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89" authorId="0" shapeId="0" xr:uid="{3EFF75A8-EE70-4145-861B-548DDD2D17E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89" authorId="0" shapeId="0" xr:uid="{DA77814B-F0DE-46A3-BCD5-495719BE91B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89" authorId="0" shapeId="0" xr:uid="{0201C8F8-69FC-4531-A116-B1E30CDC7DE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89" authorId="0" shapeId="0" xr:uid="{7F147370-6DB1-4AD1-8A16-D9CFDC4659F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0" authorId="0" shapeId="0" xr:uid="{70741C9B-5035-4255-B1A4-3376C463B5B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0" authorId="0" shapeId="0" xr:uid="{85F6BE98-0560-4612-9BE6-2CE98BDB397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0" authorId="0" shapeId="0" xr:uid="{66E9FA2F-FAB7-4DDE-9B39-76B2BE0495B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0" authorId="0" shapeId="0" xr:uid="{524B3974-2EC3-47DC-A159-46D78968DC4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0" authorId="0" shapeId="0" xr:uid="{0A885862-F7B8-44ED-B5FC-D0980FE3B8A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0" authorId="0" shapeId="0" xr:uid="{8D0E9B52-F6A5-4D56-BB09-D49FB0BF2B3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0" authorId="0" shapeId="0" xr:uid="{50495571-DE3B-4C68-8644-104C70AB666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0" authorId="0" shapeId="0" xr:uid="{7D56A644-0379-4D08-BBDA-CBDB0E67981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0" authorId="0" shapeId="0" xr:uid="{306A0DB3-3816-4526-8D47-21C00227AC3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0" authorId="0" shapeId="0" xr:uid="{F06E2129-CE58-43EE-82F9-8E2BEEF1DE6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0" authorId="0" shapeId="0" xr:uid="{58723469-E43E-4D1C-AE7C-9F89A71F2EE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90" authorId="0" shapeId="0" xr:uid="{FF89866C-4664-4D75-8A51-E50957D0981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90" authorId="0" shapeId="0" xr:uid="{BECB2CAD-2959-40FA-B8B4-0F3C1F1E242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90" authorId="0" shapeId="0" xr:uid="{9D170EE5-BB8A-4BB9-9B93-85D2E27EF0F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90" authorId="0" shapeId="0" xr:uid="{8F9704D0-9F2E-49FA-A4DE-0F55FBA278B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90" authorId="0" shapeId="0" xr:uid="{188C36F4-1F4A-489D-B027-9BB0F590759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1" authorId="0" shapeId="0" xr:uid="{8BC66CFA-BBE9-431F-B8E0-182794A4AC9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1" authorId="0" shapeId="0" xr:uid="{97F5562E-DDFF-4850-A117-9319EB181A3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1" authorId="0" shapeId="0" xr:uid="{8230773D-2E8A-4CDF-9C90-C9411AD9235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1" authorId="0" shapeId="0" xr:uid="{53BAE6E7-3ED8-4CCB-AB81-7B562395F6E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1" authorId="0" shapeId="0" xr:uid="{A87C1BC4-95F9-4CF7-98EA-79C14BC9740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1" authorId="0" shapeId="0" xr:uid="{C534AA7F-FCCE-4FDC-A2F6-B5D1D0DFC3C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1" authorId="0" shapeId="0" xr:uid="{F41FA712-0C9D-4E38-92CB-F5D9ED39768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1" authorId="0" shapeId="0" xr:uid="{F5CFD090-FDB1-463D-8A30-CA9354E0147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1" authorId="0" shapeId="0" xr:uid="{374AA131-01FF-42F5-8BA5-27F970E1361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1" authorId="0" shapeId="0" xr:uid="{8597613C-7B56-4193-8A7B-FB3DD367BCD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1" authorId="0" shapeId="0" xr:uid="{9B3AE443-7A6C-402B-91D9-C4E8E7E6237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91" authorId="0" shapeId="0" xr:uid="{77CD1020-679E-4DB8-B095-22BBDCB6E7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91" authorId="0" shapeId="0" xr:uid="{3C88F8DC-51E4-43C6-A043-D8B6250636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91" authorId="0" shapeId="0" xr:uid="{A1480ADB-8DAA-455F-87D0-93E60FD206B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91" authorId="0" shapeId="0" xr:uid="{2CD05B41-CF3A-4D7D-8AB7-52F6185717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91" authorId="0" shapeId="0" xr:uid="{13E934BB-7528-49F1-9085-8C97A8F6FE6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2" authorId="0" shapeId="0" xr:uid="{A20610BC-6A32-4F04-91C6-B88260302EF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2" authorId="0" shapeId="0" xr:uid="{4A59C331-57B7-45EE-A5F7-B84CDA89953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2" authorId="0" shapeId="0" xr:uid="{5054C652-528D-4B3B-8EB2-E95739EDD96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2" authorId="0" shapeId="0" xr:uid="{E1CF4873-65FF-4B3E-9B48-73204CA9550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2" authorId="0" shapeId="0" xr:uid="{B3A7F9C3-57F5-4F3A-9FF4-CA767167CF7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2" authorId="0" shapeId="0" xr:uid="{53DF866E-B155-4B41-B214-6D6501E7302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2" authorId="0" shapeId="0" xr:uid="{D52406EF-6382-4076-98AE-B3849886346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2" authorId="0" shapeId="0" xr:uid="{286364E9-676D-414B-A3F4-B41E6D0BD4F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2" authorId="0" shapeId="0" xr:uid="{42A1FF73-DE09-43B7-B344-93DE0371B0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2" authorId="0" shapeId="0" xr:uid="{052D0EF3-E740-4C8D-8EB5-6AC96D1A9F7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2" authorId="0" shapeId="0" xr:uid="{483F9135-D6A3-45F2-9EC1-BB8BB25BAA6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92" authorId="0" shapeId="0" xr:uid="{4F40947E-4E1E-45FA-8C1F-5A6179D836B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92" authorId="0" shapeId="0" xr:uid="{6C50D393-992F-4839-9E08-E7D1ED96E39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92" authorId="0" shapeId="0" xr:uid="{B9CF3EBF-FBDC-49E2-98B1-10CF3C5E619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92" authorId="0" shapeId="0" xr:uid="{807829BD-4B7F-4A90-8647-6848345058A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92" authorId="0" shapeId="0" xr:uid="{3F8C1C63-D18B-4F01-8EE5-D4573DF6E8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3" authorId="0" shapeId="0" xr:uid="{5A36F371-EDC9-4E65-9240-D896DDBC1F5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3" authorId="0" shapeId="0" xr:uid="{261144AB-88C4-40BC-A2E6-295FC7DF55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3" authorId="0" shapeId="0" xr:uid="{5C0A4AA4-2C75-4032-A1E4-CED022A234B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3" authorId="0" shapeId="0" xr:uid="{8AC139F1-59A3-4E85-BAC4-2DA9CDDF3E2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3" authorId="0" shapeId="0" xr:uid="{1354AA25-5E13-419E-8941-76FDF05D87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3" authorId="0" shapeId="0" xr:uid="{1EC042CF-D133-44A4-91B1-F5535FF228D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3" authorId="0" shapeId="0" xr:uid="{FF439CA6-6859-4875-A2EB-269F174528D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3" authorId="0" shapeId="0" xr:uid="{97E46A2C-B2A6-401B-BA1B-7FC99911720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3" authorId="0" shapeId="0" xr:uid="{ACC4587D-7150-41FD-BD8F-9A536184988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3" authorId="0" shapeId="0" xr:uid="{0673C432-208E-4284-B351-3A807B54C8F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3" authorId="0" shapeId="0" xr:uid="{3F650356-4544-4670-9181-7265A267958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93" authorId="0" shapeId="0" xr:uid="{BBF2A31B-9B66-4B08-9768-AEACF92AAC9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93" authorId="0" shapeId="0" xr:uid="{C4ECB875-1B31-4ECC-B5E3-9AEFCB9F61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93" authorId="0" shapeId="0" xr:uid="{1C1C82D5-BB71-4673-85AA-97A255DC66A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93" authorId="0" shapeId="0" xr:uid="{CD4C309C-DC79-46A3-B8AF-693015C1F78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93" authorId="0" shapeId="0" xr:uid="{EB373C21-E41E-4B66-B072-4EED3A3E35D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4" authorId="0" shapeId="0" xr:uid="{E3502EC6-F3D8-43D2-BFFC-1643235EF5F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4" authorId="0" shapeId="0" xr:uid="{F878ADB3-2482-4019-9688-FA19B40D073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4" authorId="0" shapeId="0" xr:uid="{397AB53B-5EE5-4C95-943E-87A2727E35F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4" authorId="0" shapeId="0" xr:uid="{3071E53A-1D82-4AA8-BA65-8C4D7350961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4" authorId="0" shapeId="0" xr:uid="{A97A3551-08FA-4429-B8A8-47F78ECBF2D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4" authorId="0" shapeId="0" xr:uid="{5D2F8C4B-CD79-42B4-BF67-E13BC372A19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4" authorId="0" shapeId="0" xr:uid="{09AAEB29-C118-460E-9E0C-181350F2A66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4" authorId="0" shapeId="0" xr:uid="{A45CDA03-0B0E-458D-AC78-188E996E817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4" authorId="0" shapeId="0" xr:uid="{938F58F5-D109-4AB4-9EA9-BDA2A82FD9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4" authorId="0" shapeId="0" xr:uid="{7F643444-DDF5-4B7F-9503-E74F22E5272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4" authorId="0" shapeId="0" xr:uid="{0D23297A-63E1-48BC-9F54-ADDAA306E29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94" authorId="0" shapeId="0" xr:uid="{E8434B79-150D-4E26-B8D0-9056B032DB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94" authorId="0" shapeId="0" xr:uid="{2B89D3C5-F47B-43C4-B091-CF565186479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94" authorId="0" shapeId="0" xr:uid="{551E9305-C2A1-4E91-BAC4-9D667724C72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94" authorId="0" shapeId="0" xr:uid="{9CE54D9C-B672-4F9F-A677-C676A474767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94" authorId="0" shapeId="0" xr:uid="{CDA26FC6-8E51-4F44-AE65-BA3EA533231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7" authorId="0" shapeId="0" xr:uid="{621C6413-D11B-4F78-B8DA-F2F03076AB3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7" authorId="0" shapeId="0" xr:uid="{402B7E91-BEE9-4F6C-A20F-3669B6B2385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7" authorId="0" shapeId="0" xr:uid="{48BDC033-EE71-42B0-9A49-27CA42E8A0B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7" authorId="0" shapeId="0" xr:uid="{8382A429-DA14-4B35-A7F2-9E605326570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7" authorId="0" shapeId="0" xr:uid="{1C563B95-66F3-4A04-92F1-7B9D3C54986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7" authorId="0" shapeId="0" xr:uid="{590DA218-568C-449D-B492-B68B453EA05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7" authorId="0" shapeId="0" xr:uid="{B530EC71-4325-4A3C-8D4E-5B5D30A976C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7" authorId="0" shapeId="0" xr:uid="{A3DC3EA5-6C57-4C73-B457-164D0374C56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7" authorId="0" shapeId="0" xr:uid="{1F3D2D3A-CB17-42A5-AA5C-8830B70AAC7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7" authorId="0" shapeId="0" xr:uid="{B337BB4F-BDD6-40D6-BAE0-17A9AE03633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7" authorId="0" shapeId="0" xr:uid="{53446900-B7C3-4D37-90DA-02361CA6E15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97" authorId="0" shapeId="0" xr:uid="{1AF98833-411F-45E7-B8AC-A3D01B395A4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97" authorId="0" shapeId="0" xr:uid="{C425E215-AAEA-455B-B605-8819AD867FF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97" authorId="0" shapeId="0" xr:uid="{A6A1AC5F-EE3B-47E5-AFED-30E0E00D2D9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97" authorId="0" shapeId="0" xr:uid="{BE7368A4-1F5A-4E90-95A7-A1BA640CD03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97" authorId="0" shapeId="0" xr:uid="{794AD4EE-F900-400B-9671-ED7B634B55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8" authorId="0" shapeId="0" xr:uid="{C04BAE57-710F-4621-ADBE-695B7F3F6FC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8" authorId="0" shapeId="0" xr:uid="{76F5172A-B330-4D36-9BC0-91F003E986B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8" authorId="0" shapeId="0" xr:uid="{42CD6E54-A151-4564-8A95-0912406E0A6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8" authorId="0" shapeId="0" xr:uid="{757E1082-B0AB-4780-B65F-19CF1FFE3B3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8" authorId="0" shapeId="0" xr:uid="{8598B6F0-B026-436E-8A4B-D470B44AA9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8" authorId="0" shapeId="0" xr:uid="{6ED17A58-E492-4183-A86B-2CADED1C80B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8" authorId="0" shapeId="0" xr:uid="{D0351271-A298-4F4F-8EC7-409367921D2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8" authorId="0" shapeId="0" xr:uid="{E1A5B57B-4075-4216-B7DA-121DD60519E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8" authorId="0" shapeId="0" xr:uid="{EEF0D86E-25D7-4C8A-8DBD-DEA6FAD3D73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8" authorId="0" shapeId="0" xr:uid="{39A25C5E-E7AE-4E8B-8AE1-174FED2A096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8" authorId="0" shapeId="0" xr:uid="{CF4306C5-24CA-4CB3-8694-C33F32CC577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98" authorId="0" shapeId="0" xr:uid="{28A6E9C6-4F42-438E-873C-AD1BF6E8850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98" authorId="0" shapeId="0" xr:uid="{7948D554-D9D1-48FD-AEF7-E6FE21A6C78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98" authorId="0" shapeId="0" xr:uid="{1A43271F-66D5-40E0-A7F1-218F8C594F5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98" authorId="0" shapeId="0" xr:uid="{7E84A4B2-732C-44DA-826C-34C81E855BD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98" authorId="0" shapeId="0" xr:uid="{8BD59A9C-8D60-4B5E-8F43-0752F6EC8E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9" authorId="0" shapeId="0" xr:uid="{B9DF65DB-5553-41DA-9142-5D0A61FC16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9" authorId="0" shapeId="0" xr:uid="{C99D28F5-943D-4353-90C6-AB2FE6B9347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9" authorId="0" shapeId="0" xr:uid="{46CE693D-10A3-41AD-A366-4D11D98E54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9" authorId="0" shapeId="0" xr:uid="{9BA919C6-DDEC-443A-B7AB-92FCA968872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9" authorId="0" shapeId="0" xr:uid="{8C05CC1F-0DB0-471A-BC4E-DFB709E399C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9" authorId="0" shapeId="0" xr:uid="{E844D1E0-3093-4867-884A-5392A20B6E5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9" authorId="0" shapeId="0" xr:uid="{9297D730-0AFC-42F1-9657-FE2C812C7EC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9" authorId="0" shapeId="0" xr:uid="{59854B7A-AA22-4CE7-883C-9E45475BFB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9" authorId="0" shapeId="0" xr:uid="{F9D323C8-1EF2-45DC-8743-547AE60A827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9" authorId="0" shapeId="0" xr:uid="{6EFB783E-08DF-44DF-91F4-4F15BC26776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9" authorId="0" shapeId="0" xr:uid="{63B600D6-B36E-4240-931B-43FFB9A636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99" authorId="0" shapeId="0" xr:uid="{A004324F-931A-4BF4-8C15-279284F4606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99" authorId="0" shapeId="0" xr:uid="{5F37BED0-20A2-4E1C-8023-DB81961D7C8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99" authorId="0" shapeId="0" xr:uid="{CEDE8EA0-D622-421E-9650-3F99F670FE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99" authorId="0" shapeId="0" xr:uid="{0EB7E3CA-C519-4A4C-B052-3FBEE4FCAC9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99" authorId="0" shapeId="0" xr:uid="{DC83591E-CD71-4E3C-BA42-CBD9C4952A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0" authorId="0" shapeId="0" xr:uid="{1A82E83C-78D7-463C-AF9A-EE762875587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0" authorId="0" shapeId="0" xr:uid="{BF2B811D-DFBF-4E72-B86F-E70B2C7C0B6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0" authorId="0" shapeId="0" xr:uid="{17C6CC58-7FC5-40B1-9597-25D74D43600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0" authorId="0" shapeId="0" xr:uid="{83A09695-D944-4685-8783-0C0E7A927C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0" authorId="0" shapeId="0" xr:uid="{3B825238-BC7A-4F5F-98B9-9A1342D6293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0" authorId="0" shapeId="0" xr:uid="{DCE5DFD2-E98C-41CE-B486-5E8AFFD0E45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0" authorId="0" shapeId="0" xr:uid="{F001AD03-DA0B-498D-9C07-13A93BF91F8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0" authorId="0" shapeId="0" xr:uid="{CD7C3A83-62A3-4B05-8A0E-ED9CD44D366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0" authorId="0" shapeId="0" xr:uid="{9B2AFBDF-AD62-4088-A358-8CBB28CD1A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0" authorId="0" shapeId="0" xr:uid="{425A30E5-4F5E-4C28-A24B-A19FC4F7356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0" authorId="0" shapeId="0" xr:uid="{C2C8A6E8-DDA2-4E9E-A893-C832540A399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00" authorId="0" shapeId="0" xr:uid="{F08C1217-47E3-46F3-8085-3198DA36060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00" authorId="0" shapeId="0" xr:uid="{6D2FD9C1-468A-4D16-8D81-21E456D5D98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00" authorId="0" shapeId="0" xr:uid="{2785CC03-BA4E-4C0F-9D2D-B67597B3D37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00" authorId="0" shapeId="0" xr:uid="{77719B95-EF59-48B2-882D-28CF5726933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00" authorId="0" shapeId="0" xr:uid="{F95BFC05-619C-466B-B388-E1DAECE3EFD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1" authorId="0" shapeId="0" xr:uid="{27DFAC9A-BBA3-4181-BF15-85D49889A58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1" authorId="0" shapeId="0" xr:uid="{38538121-A7C0-412B-A27E-21A6A10A28C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1" authorId="0" shapeId="0" xr:uid="{82F7419E-D04C-4A85-AE73-9FB52F6AE9E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1" authorId="0" shapeId="0" xr:uid="{13CC748E-35E0-4E87-91CA-C792338100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1" authorId="0" shapeId="0" xr:uid="{B24751B0-8572-41F7-B2B7-64C0AF732D9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1" authorId="0" shapeId="0" xr:uid="{17CAD9AE-71F3-4F1D-B0C8-99DE2347FE3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1" authorId="0" shapeId="0" xr:uid="{899923A4-6D1B-48F7-8397-8408DFFD021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1" authorId="0" shapeId="0" xr:uid="{1C980C39-68E9-4C85-A57F-51B88A5A360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1" authorId="0" shapeId="0" xr:uid="{88355B50-748B-4548-BF01-FE9EFA5F494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1" authorId="0" shapeId="0" xr:uid="{904431FF-9E18-480A-8972-FEE538744F0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1" authorId="0" shapeId="0" xr:uid="{F751C51A-7572-4A16-941C-4B7D9FB0758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01" authorId="0" shapeId="0" xr:uid="{D381AADD-02E5-46A1-9E9E-78D3D3DAA34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01" authorId="0" shapeId="0" xr:uid="{4A32799F-375E-4294-96B1-811036189B2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01" authorId="0" shapeId="0" xr:uid="{EE69EB79-BB45-44FD-87BB-54581F43264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01" authorId="0" shapeId="0" xr:uid="{5F7E203B-A517-45F2-A8AC-7FFDAC183AD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01" authorId="0" shapeId="0" xr:uid="{A3F52778-28F0-43F8-89F5-2CE61039502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2" authorId="0" shapeId="0" xr:uid="{C79C37FA-DE44-4114-AFA8-4DA1F323052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2" authorId="0" shapeId="0" xr:uid="{A49E8A98-47F1-478F-96B5-74BE2CFCFEF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2" authorId="0" shapeId="0" xr:uid="{2F6279B0-BAA1-43CF-97F8-795F2966175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2" authorId="0" shapeId="0" xr:uid="{5D9D17AF-9EDA-4B20-960C-AAA3C65E3B6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2" authorId="0" shapeId="0" xr:uid="{E7CD1CEA-B41D-4E9D-8F68-C3A01DFD41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2" authorId="0" shapeId="0" xr:uid="{C2B5C0B5-D95D-4107-9BE7-025FEF117C0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2" authorId="0" shapeId="0" xr:uid="{F4D0CD7F-617E-49B4-A053-6D2EDF792E2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2" authorId="0" shapeId="0" xr:uid="{E8D9CE12-09ED-44E1-9CF9-DF81CE7CAD1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2" authorId="0" shapeId="0" xr:uid="{7A8413BE-C2D7-45E0-B39B-C325D74E783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2" authorId="0" shapeId="0" xr:uid="{F3D02F0E-3173-4F13-AFD2-7BB5A4CBD13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2" authorId="0" shapeId="0" xr:uid="{CB73D902-3EF7-4623-8F08-0952FCBE13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02" authorId="0" shapeId="0" xr:uid="{24E88C5E-7372-4817-B887-D4439F40F41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02" authorId="0" shapeId="0" xr:uid="{35E090F4-71A2-4721-A034-D0EECD69F94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02" authorId="0" shapeId="0" xr:uid="{7E1C6D36-34CD-46FE-AE13-CCAA1CEB4B2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02" authorId="0" shapeId="0" xr:uid="{A0C3E8BC-74E8-4D37-BC44-466DECC4B5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02" authorId="0" shapeId="0" xr:uid="{61A4116E-B746-4710-A04F-476D14D3E93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3" authorId="0" shapeId="0" xr:uid="{20697A09-35E1-4705-AB3E-CC699326E5E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3" authorId="0" shapeId="0" xr:uid="{2081EED5-DCF2-491A-9FC1-7D50EBC3B68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3" authorId="0" shapeId="0" xr:uid="{50FE8CE4-A368-4D0C-9DC7-076D57F8A09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3" authorId="0" shapeId="0" xr:uid="{A68DDFCA-21DE-4093-89DC-AAF20124EE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3" authorId="0" shapeId="0" xr:uid="{9C0C5566-4F02-4CEC-AC98-E967B2C9546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3" authorId="0" shapeId="0" xr:uid="{AB565AD8-0238-4C51-9B43-8D9087B0636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3" authorId="0" shapeId="0" xr:uid="{31789C98-6C07-4359-A31A-CE9980BC9B3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3" authorId="0" shapeId="0" xr:uid="{1847690A-1D52-49C2-A786-4318B10F0AA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3" authorId="0" shapeId="0" xr:uid="{82E0DED4-E5F8-4C0C-BE1C-D32A42D70CC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3" authorId="0" shapeId="0" xr:uid="{85D66B29-8783-44B7-82B4-1742BE5331C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3" authorId="0" shapeId="0" xr:uid="{A8D724EC-CC64-4A85-9BB7-06C9B3BF504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03" authorId="0" shapeId="0" xr:uid="{5FA4C9A5-447F-4B09-A01B-5504811965D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03" authorId="0" shapeId="0" xr:uid="{DCAF15E5-03BA-4FE4-B3F4-E740785C2BD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03" authorId="0" shapeId="0" xr:uid="{6A4E040D-D6A4-45EA-92A1-60DBF69AB49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03" authorId="0" shapeId="0" xr:uid="{94409E37-09D7-4BC3-91C9-895EFD79893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03" authorId="0" shapeId="0" xr:uid="{FCFB067D-9D06-4259-B4C6-21EB46F72FB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4" authorId="0" shapeId="0" xr:uid="{08149AD9-FB8A-4548-92D5-69D9A2E7A53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4" authorId="0" shapeId="0" xr:uid="{CF9823A9-343F-47F5-AFCD-E025C885134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4" authorId="0" shapeId="0" xr:uid="{CD6278B2-69F0-4432-84C5-57EF317C275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4" authorId="0" shapeId="0" xr:uid="{04CF4B95-77C5-4857-90C1-00DFA16AA2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4" authorId="0" shapeId="0" xr:uid="{CB2AD51A-62A1-466F-A843-C45F8C52456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4" authorId="0" shapeId="0" xr:uid="{48BAACDB-D9CC-4959-90B9-6B13B7C8C97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4" authorId="0" shapeId="0" xr:uid="{928DB2A2-8622-4553-87E3-029CC664470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4" authorId="0" shapeId="0" xr:uid="{BE155174-AF09-47EF-963B-8B8717632FB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4" authorId="0" shapeId="0" xr:uid="{27FE8CBC-E2E1-43F1-AF17-7F14985F3B2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4" authorId="0" shapeId="0" xr:uid="{79AD2605-6768-4650-B958-1BFD6B62FA5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4" authorId="0" shapeId="0" xr:uid="{0BB6705E-4088-459D-B0E2-909DBD42F59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04" authorId="0" shapeId="0" xr:uid="{2F1AC21A-6E2E-444F-97D8-EB1DAA0936E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04" authorId="0" shapeId="0" xr:uid="{E744CDD1-FC47-4F1A-AE59-CABEA275D6D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04" authorId="0" shapeId="0" xr:uid="{8FD15154-C099-4B1B-8EC9-B074E0CF9C8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04" authorId="0" shapeId="0" xr:uid="{3C74A498-FEEC-4D2B-A0BC-8A585F365F4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04" authorId="0" shapeId="0" xr:uid="{D3CC20F2-F090-4F33-B43B-8537047D50F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5" authorId="0" shapeId="0" xr:uid="{0D7B887E-2866-4E3C-9488-A3211D2958F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5" authorId="0" shapeId="0" xr:uid="{C062D5D7-A63B-4F95-A46F-357EB6D734E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5" authorId="0" shapeId="0" xr:uid="{C3DB09AC-7197-489E-A436-D918C17530C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5" authorId="0" shapeId="0" xr:uid="{F8A86F80-EE23-444D-B5FC-B6215689162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5" authorId="0" shapeId="0" xr:uid="{BA753250-651E-400F-A66A-4D04E4863DF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5" authorId="0" shapeId="0" xr:uid="{F0E70404-B680-4B61-8BA1-0D1618A31CD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5" authorId="0" shapeId="0" xr:uid="{D61AEB11-D307-4FC8-9282-B902997898F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5" authorId="0" shapeId="0" xr:uid="{8D26F00A-C9A7-4DCE-B834-904B22A967C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5" authorId="0" shapeId="0" xr:uid="{A05AA079-C524-42E3-A117-CD211685F7C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5" authorId="0" shapeId="0" xr:uid="{FD0E31BA-499C-48C3-AF5A-564DE8C9975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5" authorId="0" shapeId="0" xr:uid="{99F64B7B-D29A-415B-8250-A7656C20960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05" authorId="0" shapeId="0" xr:uid="{C1C6FFFC-8916-4EA8-A15C-831AB7A6452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05" authorId="0" shapeId="0" xr:uid="{E2512ECB-9620-48D9-86CE-FF00704BA83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05" authorId="0" shapeId="0" xr:uid="{0DD238CC-1877-4E2E-A6A7-14DF77672B2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05" authorId="0" shapeId="0" xr:uid="{76CECC04-5F36-4AA8-BF7F-7B64C1EF68E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05" authorId="0" shapeId="0" xr:uid="{831A0C2E-B5AE-4A13-AEBC-0474E70F62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6" authorId="0" shapeId="0" xr:uid="{817B2CD7-634C-42FC-92CE-026587A98D6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6" authorId="0" shapeId="0" xr:uid="{2E14AC4F-1280-451C-9978-3EE9F648E41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6" authorId="0" shapeId="0" xr:uid="{96B9A021-7C32-4763-B1FE-31FFAD9BD49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6" authorId="0" shapeId="0" xr:uid="{D13076A7-7A6F-465C-B0C7-D8E609DB1AB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6" authorId="0" shapeId="0" xr:uid="{D74653F2-A6E3-41B1-925A-CA0DCED8A4B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6" authorId="0" shapeId="0" xr:uid="{2F74375D-6A51-49F2-9C0E-1753996F176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6" authorId="0" shapeId="0" xr:uid="{E3AF504B-5465-4FC0-B134-E77EEBBCE89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6" authorId="0" shapeId="0" xr:uid="{03D06F18-31A8-400A-92C4-A3D6055E4C2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6" authorId="0" shapeId="0" xr:uid="{72F42CD6-12EB-41B1-A967-D69FED8EF49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6" authorId="0" shapeId="0" xr:uid="{187932DE-4A22-4203-83F2-8A344C31485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6" authorId="0" shapeId="0" xr:uid="{827AEEB6-ABCC-4D4B-93ED-ADA16C51EC0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06" authorId="0" shapeId="0" xr:uid="{A59F0885-3342-49D0-824E-DAD16591109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06" authorId="0" shapeId="0" xr:uid="{71DAE55F-6CDD-4F90-A649-188F232C6FA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06" authorId="0" shapeId="0" xr:uid="{A32C66FA-7E84-4CD5-98A8-90121FBB50B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06" authorId="0" shapeId="0" xr:uid="{4D23BC50-879D-49EF-AEBE-791710CEA83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06" authorId="0" shapeId="0" xr:uid="{CAC71E25-3537-41FC-A218-189C08B7FBC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7" authorId="0" shapeId="0" xr:uid="{3672E242-A328-4488-83C2-7165375C0E3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7" authorId="0" shapeId="0" xr:uid="{C3C578A0-6260-40CF-A8DC-F728FF70356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7" authorId="0" shapeId="0" xr:uid="{029931C3-1E97-4875-AC87-BD9EDA6FD57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7" authorId="0" shapeId="0" xr:uid="{835F84DE-01E8-4070-98DE-F44178BECDB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7" authorId="0" shapeId="0" xr:uid="{3098B8FA-1EAE-4134-A026-E3114A50930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7" authorId="0" shapeId="0" xr:uid="{69C7363C-FDAD-4EE0-B680-DF40F6DFC13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7" authorId="0" shapeId="0" xr:uid="{D8373DC0-10A0-4DF5-93F2-442160328DD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7" authorId="0" shapeId="0" xr:uid="{5CEEC720-6861-4A95-BA62-97BFDE56DD8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7" authorId="0" shapeId="0" xr:uid="{30E55340-3439-4EBE-AFCD-C22465FE9D3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7" authorId="0" shapeId="0" xr:uid="{E6F7FC9B-A61E-446B-8740-5EE347FFD46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7" authorId="0" shapeId="0" xr:uid="{7A35C983-A80C-4B32-8B79-95B14BBF760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07" authorId="0" shapeId="0" xr:uid="{B8D323A2-AA04-4E27-817D-32C6C448105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07" authorId="0" shapeId="0" xr:uid="{EF8B431F-6D7B-452B-AAEC-5865171F5D1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07" authorId="0" shapeId="0" xr:uid="{C3C200A4-D31A-4B1B-B72F-E4CA36212DA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07" authorId="0" shapeId="0" xr:uid="{A8B5B7F2-9627-4829-AF67-64720D6C693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07" authorId="0" shapeId="0" xr:uid="{BE41FC35-A89C-448C-8156-8B84DC93C69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8" authorId="0" shapeId="0" xr:uid="{A357D245-F873-4DA7-8599-096AAF5CCC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8" authorId="0" shapeId="0" xr:uid="{6EE936A2-6C02-48A8-A219-B5B16B4BC9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8" authorId="0" shapeId="0" xr:uid="{EFC577E1-42E8-4D6F-ABE3-4B639AFDCC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8" authorId="0" shapeId="0" xr:uid="{47E0A1D5-D941-42EB-8E70-AB50A7080D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8" authorId="0" shapeId="0" xr:uid="{9473C687-9D11-4316-8714-C593776EFC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8" authorId="0" shapeId="0" xr:uid="{86F4F68F-8A8F-420E-AC92-D89D234CB7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08" authorId="0" shapeId="0" xr:uid="{FE18BB40-858D-405C-AA2D-98D6B49AB5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08" authorId="0" shapeId="0" xr:uid="{124E5C04-A9F4-48DB-88AC-E73C3521B6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08" authorId="0" shapeId="0" xr:uid="{3E23656F-FD82-4557-BB35-24DF0DBB44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08" authorId="0" shapeId="0" xr:uid="{EB7567F4-E91F-489B-BFFE-BCC4FACD10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08" authorId="0" shapeId="0" xr:uid="{2779B6DD-7C56-48A7-941C-71A9202D97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08" authorId="0" shapeId="0" xr:uid="{4A405A32-B0D8-4CD8-A0F7-06C0E4CEF2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08" authorId="0" shapeId="0" xr:uid="{8C1EC4FF-A7E3-4933-AC05-B64A667D37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08" authorId="0" shapeId="0" xr:uid="{09418554-1ADE-4F65-B9B8-16A3C6DC79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08" authorId="0" shapeId="0" xr:uid="{25E74682-A0A8-4CE4-8044-87609BDA8C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08" authorId="0" shapeId="0" xr:uid="{71FEC825-A7C2-4809-9AA6-03F8468977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9" authorId="0" shapeId="0" xr:uid="{28F54FBF-3B74-4047-8B07-A37D429AD0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9" authorId="0" shapeId="0" xr:uid="{C44BB7B8-E424-4D57-A83A-C1CA63C18C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9" authorId="0" shapeId="0" xr:uid="{4E7380E2-0304-43CC-9B72-0770C1AA6D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9" authorId="0" shapeId="0" xr:uid="{335D101F-CB0B-49B1-8CC2-A167EB2CA1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9" authorId="0" shapeId="0" xr:uid="{D2199EBD-9F68-4043-9419-F2616DA8F1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9" authorId="0" shapeId="0" xr:uid="{9A2533F8-E999-4351-96F7-4283A39701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9" authorId="0" shapeId="0" xr:uid="{807D17B4-979D-4585-9F51-E8EB7AFD83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9" authorId="0" shapeId="0" xr:uid="{23A6960B-96F0-4B14-AD8B-9307E62826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9" authorId="0" shapeId="0" xr:uid="{FD5CC3F5-A619-409F-B3F0-954DE80907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9" authorId="0" shapeId="0" xr:uid="{835FC7A3-D4FE-45EA-B64F-8E62FDCC6C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9" authorId="0" shapeId="0" xr:uid="{76422774-2C6C-4B46-84A7-BB6473B6F6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09" authorId="0" shapeId="0" xr:uid="{E67D368A-18C5-462E-A06A-CF82414F8E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09" authorId="0" shapeId="0" xr:uid="{F79E4337-852F-4F19-BD51-7A7EFDBC2E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09" authorId="0" shapeId="0" xr:uid="{FDC0F513-B790-4FFD-AB23-F2D7981845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09" authorId="0" shapeId="0" xr:uid="{890A4BD5-3807-4D94-B8FF-58040046AB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09" authorId="0" shapeId="0" xr:uid="{DDA2F2F3-8BC3-4991-A52C-17AF5F9847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0" authorId="0" shapeId="0" xr:uid="{D4C0AABB-5A5C-4006-88E5-B8DE6BC447B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0" authorId="0" shapeId="0" xr:uid="{9B89C774-46D6-4E7D-8360-682D4167E32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0" authorId="0" shapeId="0" xr:uid="{AD808CEB-F5F6-4044-91AD-C9A98A53CB1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0" authorId="0" shapeId="0" xr:uid="{2632DD51-E821-4567-8631-4CC4149F8F7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0" authorId="0" shapeId="0" xr:uid="{2E071E0C-9739-4FFB-AECC-4CC5CE11710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0" authorId="0" shapeId="0" xr:uid="{DD035508-5C8F-468E-B135-462E4314699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0" authorId="0" shapeId="0" xr:uid="{43003ACE-EDFF-41B3-9901-11817EDB363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0" authorId="0" shapeId="0" xr:uid="{FDF521AF-5855-4542-A3F7-8CF4F1A22F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0" authorId="0" shapeId="0" xr:uid="{6669BA57-D864-47C3-99B6-9B1F0C9E54A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0" authorId="0" shapeId="0" xr:uid="{C681E6D5-0E30-4481-A2C6-8B506492B87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0" authorId="0" shapeId="0" xr:uid="{2844CF51-6B82-4409-9AC3-F737AB6658E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10" authorId="0" shapeId="0" xr:uid="{DF40A9C1-039B-48C3-87F9-59650BD1AE9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10" authorId="0" shapeId="0" xr:uid="{A1EBD70F-A863-46D6-8CBF-8E9A5D647ED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10" authorId="0" shapeId="0" xr:uid="{81C569F3-3319-4488-AACC-6C7088708BF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10" authorId="0" shapeId="0" xr:uid="{20E7B14E-9E65-41ED-A2B7-EBD0AABDF65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10" authorId="0" shapeId="0" xr:uid="{E09FB68B-C43F-4F88-B98E-B37D96DACB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1" authorId="0" shapeId="0" xr:uid="{5E176C96-CE84-4CC5-BBF9-ACF24530446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1" authorId="0" shapeId="0" xr:uid="{83AF655D-D093-4B76-B930-B50280D49C1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1" authorId="0" shapeId="0" xr:uid="{74A7CBFF-DC0D-4113-82E1-1EE7A5F9D7E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1" authorId="0" shapeId="0" xr:uid="{C944275A-78AF-4188-95C3-9DF8109740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1" authorId="0" shapeId="0" xr:uid="{35836F51-5CA1-48CC-92F9-87385E10586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1" authorId="0" shapeId="0" xr:uid="{7F07B7FD-7EC3-487B-9277-8B9805F2359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1" authorId="0" shapeId="0" xr:uid="{AF5096BD-BF88-4FEF-B78B-B4084051A35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1" authorId="0" shapeId="0" xr:uid="{36141DF1-9A4D-4E53-86A2-D391BCE1FB2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1" authorId="0" shapeId="0" xr:uid="{46C5CE5B-573B-4A5F-BCAD-0FD04FC5A10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1" authorId="0" shapeId="0" xr:uid="{571A1889-B8E5-4C48-B509-D11FF29A6F7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1" authorId="0" shapeId="0" xr:uid="{616E4ECF-1CAD-401E-940E-EB3C430CDF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11" authorId="0" shapeId="0" xr:uid="{FBEE2D10-9A83-43AD-9F1E-D6E09888BC2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11" authorId="0" shapeId="0" xr:uid="{9D83D863-8688-4116-8992-0C33A045268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11" authorId="0" shapeId="0" xr:uid="{0E037D58-663B-4953-9A11-BDA6C69C1DF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11" authorId="0" shapeId="0" xr:uid="{980D24FD-B8FD-498A-85F3-2596B3957D9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11" authorId="0" shapeId="0" xr:uid="{E2D984A6-C968-4FF5-8D9D-24751BB412E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2" authorId="0" shapeId="0" xr:uid="{7D3CD358-9DB4-4814-B21C-6019B38111B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2" authorId="0" shapeId="0" xr:uid="{6520E697-816C-4EC4-9314-0938CC566A7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2" authorId="0" shapeId="0" xr:uid="{1A4D8815-6EBA-4E54-A3DC-19A1D3F18B4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2" authorId="0" shapeId="0" xr:uid="{C5BECF77-6423-453F-BBAF-A370596A21A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2" authorId="0" shapeId="0" xr:uid="{A3D6686A-8A2E-4AA6-8ACB-F5CC5816DF9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2" authorId="0" shapeId="0" xr:uid="{8178B592-E32B-4583-8AC7-5542CCEB843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2" authorId="0" shapeId="0" xr:uid="{2CE5181F-5CA3-468E-AE2F-29464ECB139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2" authorId="0" shapeId="0" xr:uid="{7B6BB86F-E1EC-45FD-9143-6AD36BA37F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2" authorId="0" shapeId="0" xr:uid="{8FE1EC47-FBC4-41A4-B5A5-96844C7F016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2" authorId="0" shapeId="0" xr:uid="{AC83D333-585E-4317-9F03-4E57490F4FC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2" authorId="0" shapeId="0" xr:uid="{F18525BE-254B-4932-8B6A-CB4AF12F3C4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12" authorId="0" shapeId="0" xr:uid="{2E660C1A-476D-4833-98B3-2757A7D1A91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12" authorId="0" shapeId="0" xr:uid="{0C29A77F-DE29-4CB1-BD2F-F6D2D332CDD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12" authorId="0" shapeId="0" xr:uid="{CD2B7DDF-B9C5-430A-B301-7D53CC1839A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12" authorId="0" shapeId="0" xr:uid="{09C05AFD-F001-4584-86D5-B2A46BC538A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12" authorId="0" shapeId="0" xr:uid="{3FA74E66-A128-44A9-A20D-EEC4149F381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3" authorId="0" shapeId="0" xr:uid="{1FE8B939-48E1-43DC-8DC9-C793ED6F165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3" authorId="0" shapeId="0" xr:uid="{92BA427C-F372-45CE-9CB9-55AA234036D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3" authorId="0" shapeId="0" xr:uid="{AEEDA953-0916-48E0-8C48-A1D039A165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3" authorId="0" shapeId="0" xr:uid="{4BBD08EC-42BF-4312-976B-85E316C9A5F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3" authorId="0" shapeId="0" xr:uid="{275561F8-6140-4E61-B7FF-FC4AFB692A4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3" authorId="0" shapeId="0" xr:uid="{A705DE18-BBC4-4040-A697-0E850CF83C9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3" authorId="0" shapeId="0" xr:uid="{21249D1B-5A94-45FC-A5C3-0625B9B4956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3" authorId="0" shapeId="0" xr:uid="{A67DF7EA-1134-4FBF-B4DA-BD82191F2EF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3" authorId="0" shapeId="0" xr:uid="{4383EA27-56E9-424F-B86F-B29D062F4BD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3" authorId="0" shapeId="0" xr:uid="{21F5900A-B291-489A-920E-68EC508C837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3" authorId="0" shapeId="0" xr:uid="{F92E3B86-F9D3-4210-BC36-ED3B2F1FE06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13" authorId="0" shapeId="0" xr:uid="{AADA4DED-451F-446D-B017-D05F02FDDA1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13" authorId="0" shapeId="0" xr:uid="{A715AC1B-6D31-42E8-954E-964BAFF1182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13" authorId="0" shapeId="0" xr:uid="{9EA0CE2B-263E-4F66-8A2C-35819128BEC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13" authorId="0" shapeId="0" xr:uid="{E4A0ED22-E7D1-468A-BD74-708C5675DD0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13" authorId="0" shapeId="0" xr:uid="{2628ADBF-819E-4E7A-8099-7A4616AC285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4" authorId="0" shapeId="0" xr:uid="{5AB35A9A-585B-418C-AAF1-22DC2DB53F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4" authorId="0" shapeId="0" xr:uid="{B2DF5338-1535-4FEF-806D-059DF007C4E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4" authorId="0" shapeId="0" xr:uid="{1D776308-FA9A-4434-AB6E-24AB3467159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4" authorId="0" shapeId="0" xr:uid="{4CE84BC3-914A-4D7C-BAA0-A98E56CD7BC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4" authorId="0" shapeId="0" xr:uid="{789121A0-A679-44F7-A1BC-B5CB99E6E5A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4" authorId="0" shapeId="0" xr:uid="{EAFC7468-EFFE-458B-A24D-5B2DDE2748F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4" authorId="0" shapeId="0" xr:uid="{3A39BE26-924D-46C5-8F2E-C903CF20175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4" authorId="0" shapeId="0" xr:uid="{8E7DBAF9-0D04-47CA-B5DD-859F439E8B8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4" authorId="0" shapeId="0" xr:uid="{8F225A79-61B4-4EC3-8BEE-448872B00D6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4" authorId="0" shapeId="0" xr:uid="{720EDF6E-B6D1-43B5-AD6E-206D83AC427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4" authorId="0" shapeId="0" xr:uid="{0F7158DB-E8E5-4553-88B7-E9BFFA37593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14" authorId="0" shapeId="0" xr:uid="{71A0C54B-47C8-4AA7-81CE-4099F868279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14" authorId="0" shapeId="0" xr:uid="{F5BF12A5-A3E5-498A-956E-E4E1E4E41C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14" authorId="0" shapeId="0" xr:uid="{CC51C572-ECE5-4E19-9AEC-035F37432AC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14" authorId="0" shapeId="0" xr:uid="{3398F23B-1970-4254-BE5C-151549663A0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14" authorId="0" shapeId="0" xr:uid="{A13B6F37-898C-41EA-B60D-9B3E701B592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5" authorId="0" shapeId="0" xr:uid="{C4FD9A6D-0CC6-416D-907B-569DD61E349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5" authorId="0" shapeId="0" xr:uid="{DB93FD7C-CB5C-47D1-8241-AF91FD4BBF7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5" authorId="0" shapeId="0" xr:uid="{79EF7A18-04FD-485C-BFF1-091B5B2C898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5" authorId="0" shapeId="0" xr:uid="{EECC61F9-03CB-47A9-A9AD-09BC6DB1A81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5" authorId="0" shapeId="0" xr:uid="{308C80A7-51C9-4E4C-8359-452911D16BB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5" authorId="0" shapeId="0" xr:uid="{EF45DCBE-03BC-43FE-AE15-C75DF39A6D7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5" authorId="0" shapeId="0" xr:uid="{7098FF2A-DBEB-4C46-9656-AB81A4BBE77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5" authorId="0" shapeId="0" xr:uid="{622BDAA3-568D-4F81-BE60-2C50C68C97F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5" authorId="0" shapeId="0" xr:uid="{3A3FBD33-158D-404C-A722-62F499E5A56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5" authorId="0" shapeId="0" xr:uid="{07DA1B71-C9E7-42ED-A634-226467A44E3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5" authorId="0" shapeId="0" xr:uid="{8815ADF4-693A-4DDC-A171-8F484046743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15" authorId="0" shapeId="0" xr:uid="{0C4F7748-D635-4C2B-87C4-0C6B9491881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15" authorId="0" shapeId="0" xr:uid="{01F5DFF1-7EAB-423E-B3D1-334DFD31DC5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15" authorId="0" shapeId="0" xr:uid="{1D12A0A2-3923-4B9C-AF20-BE655329E1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15" authorId="0" shapeId="0" xr:uid="{3E7AB07B-B8B2-4096-A330-9431D1170DF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15" authorId="0" shapeId="0" xr:uid="{257CB8D6-200B-43D7-BF73-29422DC7789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6" authorId="0" shapeId="0" xr:uid="{A1818C35-56C4-4328-A0CA-156F1A7B566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6" authorId="0" shapeId="0" xr:uid="{D6F81763-5D56-44D6-AD41-06C31FACF1B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6" authorId="0" shapeId="0" xr:uid="{94EAD41B-46AD-405A-8492-0B74C013C34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6" authorId="0" shapeId="0" xr:uid="{22C7CBC9-93C8-45D4-B1C4-83267A8ACB7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6" authorId="0" shapeId="0" xr:uid="{C504A15D-CCC4-4F57-A709-9CE959E12F6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6" authorId="0" shapeId="0" xr:uid="{4073F704-419B-4AE6-9C53-E9771AF2D0B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6" authorId="0" shapeId="0" xr:uid="{9A285071-2257-4122-8BDA-EB798511541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6" authorId="0" shapeId="0" xr:uid="{A363133D-E960-41E2-9C67-491C752F691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6" authorId="0" shapeId="0" xr:uid="{7A270181-42FF-4CCA-927D-A41779B1A8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6" authorId="0" shapeId="0" xr:uid="{1F94BF49-6F1A-4BF5-A189-92B87A663EE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6" authorId="0" shapeId="0" xr:uid="{BC447CCE-245D-4399-BD12-928B751119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16" authorId="0" shapeId="0" xr:uid="{5F0F98EF-B9BF-4B4F-AC17-443EEAB431F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16" authorId="0" shapeId="0" xr:uid="{270BD6C5-51A3-4151-8ABD-BCBFB64E363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16" authorId="0" shapeId="0" xr:uid="{44B2BDFD-E999-41CC-A59A-97606F332F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16" authorId="0" shapeId="0" xr:uid="{0E188376-484F-4F85-8BD4-5126DA4334C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16" authorId="0" shapeId="0" xr:uid="{12E67E6D-E364-4851-BE11-87983BE7289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7" authorId="0" shapeId="0" xr:uid="{544494A6-781B-4072-975E-DD37EDCE053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7" authorId="0" shapeId="0" xr:uid="{A0AC5DFA-24C4-4B58-82E8-76FBA3C00C7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7" authorId="0" shapeId="0" xr:uid="{E4EECCB7-FFE3-40BC-B7C7-A950A793897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7" authorId="0" shapeId="0" xr:uid="{EDCBDF93-5662-40D8-9954-47E3E08E4E7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7" authorId="0" shapeId="0" xr:uid="{78CE7269-9D77-4637-9616-5629F9B1966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7" authorId="0" shapeId="0" xr:uid="{B190E20C-987A-433A-8FDB-49835A6684B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7" authorId="0" shapeId="0" xr:uid="{EE3937AB-370E-48B8-ADDD-3B9B02B990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7" authorId="0" shapeId="0" xr:uid="{D67E14D5-4B22-4C4C-A665-F691A9AD158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7" authorId="0" shapeId="0" xr:uid="{9BFE4752-BE3A-4066-B017-77555424C6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7" authorId="0" shapeId="0" xr:uid="{D2C7309F-2C30-4F59-96E8-E88CC1B5C62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7" authorId="0" shapeId="0" xr:uid="{84C4CDFC-34CE-4B64-A9EA-AA701823964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M117" authorId="0" shapeId="0" xr:uid="{610D08A6-0709-450A-B582-312B5375907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N117" authorId="0" shapeId="0" xr:uid="{FE0E184D-EF4F-4BB4-8A8C-B641113E318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O117" authorId="0" shapeId="0" xr:uid="{7D6C63F5-7A22-4B60-9110-1AE4735D765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P117" authorId="0" shapeId="0" xr:uid="{75DF349E-7F52-4686-9B43-E99F26E717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Q117" authorId="0" shapeId="0" xr:uid="{A70A92F7-238C-4E93-B5EE-5743D12E3F0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 RAM SAI</author>
  </authors>
  <commentList>
    <comment ref="B5" authorId="0" shapeId="0" xr:uid="{0F489850-A52D-4742-8B52-129E46EDB2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864E6B6E-B48D-47D3-A989-F58F83A3D8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8FCC7E89-09CD-4A3E-9798-D19B7D2662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BE0A55B8-75DF-44BD-81F5-75A5AA9B7D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D20CC7B6-5B8A-4553-B2A4-DE320331E1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CBE4E861-51E4-4BBE-8FBD-1F89234528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B434EF3D-8036-4FA4-8113-751D90488F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05C960FE-42EA-44EE-8DC2-97DF39E4A4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11743E52-C69F-4F07-AD96-40498A8DD6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EC990612-3BC9-4A41-B48C-70A45DBED5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5A530443-40A8-4798-BC84-E19C253784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6" authorId="0" shapeId="0" xr:uid="{33E7738A-1B90-4AE5-862A-FD178B023C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7" authorId="0" shapeId="0" xr:uid="{E1A3B3D9-5639-42E8-B53E-83B41A678E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8" authorId="0" shapeId="0" xr:uid="{712D3B3C-2AE9-44C1-8633-DDE01436E7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4F1D8603-9249-4669-8B67-8EB45E7285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1008EB59-9D7F-4B79-98B7-887C72F79C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DCF36BAF-E9D5-445A-9802-0241FD66E4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20C4AB14-A0E1-4AD0-81BF-A8EF697C18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3" authorId="0" shapeId="0" xr:uid="{4A6AE7AB-930C-4DEA-8705-76738387F6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14C1F259-3263-43BA-8746-EF48D6CFD5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5" authorId="0" shapeId="0" xr:uid="{ABF15717-3633-41F3-A87B-7D7CCEB5B3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 RAM SAI</author>
  </authors>
  <commentList>
    <comment ref="B5" authorId="0" shapeId="0" xr:uid="{FA6F06AC-FB3A-4F47-9906-B5C50C10CB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" authorId="0" shapeId="0" xr:uid="{D6359FFA-BE36-4C03-BEF6-0D38C248B6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" authorId="0" shapeId="0" xr:uid="{66F13820-5FB5-4A28-96C6-7D5A9CCBA0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" authorId="0" shapeId="0" xr:uid="{58BAE324-8D6F-4583-8A55-325718EE9A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" authorId="0" shapeId="0" xr:uid="{B5046A09-D647-465D-8395-2096699C75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" authorId="0" shapeId="0" xr:uid="{658E673A-52FF-4789-9328-DDA9B41E38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" authorId="0" shapeId="0" xr:uid="{26B5FE8D-D8D4-44AB-BC41-C9B8BB896D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" authorId="0" shapeId="0" xr:uid="{A0B4FD68-88CE-428E-8FD9-79B011D344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" authorId="0" shapeId="0" xr:uid="{F8B24DDF-92CE-4B36-8134-35FED33FC2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" authorId="0" shapeId="0" xr:uid="{E7561BAB-ABEB-4693-BCC5-07B1682AC0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" authorId="0" shapeId="0" xr:uid="{E1022F08-05CF-49E5-ADD0-B14D5854917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" authorId="0" shapeId="0" xr:uid="{362F583D-CE12-4404-BF4C-A5C949BE31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" authorId="0" shapeId="0" xr:uid="{C81F40C8-3560-4306-A4D9-421B3869AB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" authorId="0" shapeId="0" xr:uid="{E8A612EF-5C5C-4E15-B4B5-044A8CE71A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" authorId="0" shapeId="0" xr:uid="{0184847D-87FE-4CE6-AB18-26BF3B9274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" authorId="0" shapeId="0" xr:uid="{F4211CE2-AF02-4431-8B2F-3940CF0DE3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" authorId="0" shapeId="0" xr:uid="{C2CF57F0-2AFF-4291-851B-42D2BAD5EE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" authorId="0" shapeId="0" xr:uid="{6864A3D0-F39F-4C12-943A-86F0872818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" authorId="0" shapeId="0" xr:uid="{85986B56-5FBF-4C38-A1C9-E8792F000A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" authorId="0" shapeId="0" xr:uid="{B6010343-F781-454E-B7E3-313C4680BF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" authorId="0" shapeId="0" xr:uid="{1AC71747-EFE1-4DB6-9E63-3013912B79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" authorId="0" shapeId="0" xr:uid="{D87EC609-5527-4E85-8E04-7C42D2A4461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" authorId="0" shapeId="0" xr:uid="{C557AC16-82A2-4F7E-B2A6-7DA44E894C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" authorId="0" shapeId="0" xr:uid="{6ECA4F1B-4D5B-4FFF-8215-6335C2DF02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" authorId="0" shapeId="0" xr:uid="{D8CF185D-D81A-4578-A94F-0B11588854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" authorId="0" shapeId="0" xr:uid="{B936DABE-95B3-4653-8808-28A3BF6020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" authorId="0" shapeId="0" xr:uid="{AC70B52A-0DBA-4209-8458-98C59450A7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" authorId="0" shapeId="0" xr:uid="{1783A006-BF4E-4F3B-82EE-6B456DB798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" authorId="0" shapeId="0" xr:uid="{83DA970B-DE97-4C63-AB0B-1DBA7B0CB7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" authorId="0" shapeId="0" xr:uid="{9FA20917-64F0-42FE-A247-EFEAA8743F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" authorId="0" shapeId="0" xr:uid="{11F76D8E-2462-4488-B95D-F428BB52A4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" authorId="0" shapeId="0" xr:uid="{B4E1F8E6-C080-4389-AF6C-837064405E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7" authorId="0" shapeId="0" xr:uid="{F1D56E3D-4EE7-4D81-88D2-B00A83ED896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" authorId="0" shapeId="0" xr:uid="{49D5BDD2-F983-4306-89E0-A6EAA624DB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" authorId="0" shapeId="0" xr:uid="{2AC2FD37-8EA5-4FA5-878D-303D2E7129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" authorId="0" shapeId="0" xr:uid="{FAFC93E4-D8F2-44BF-979C-2EAB08131E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" authorId="0" shapeId="0" xr:uid="{07E6098A-953B-46D7-9E87-3EC5078BDA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" authorId="0" shapeId="0" xr:uid="{5CBD74F7-7978-4850-87F9-77F2E55530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" authorId="0" shapeId="0" xr:uid="{129C581D-6AD6-40FB-B480-8DED33F759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" authorId="0" shapeId="0" xr:uid="{C2851D42-9F65-412C-A4D2-823EAFC256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" authorId="0" shapeId="0" xr:uid="{9295D91D-7179-4343-B163-D808BDC0F0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" authorId="0" shapeId="0" xr:uid="{C9F44A80-CBB5-4BE6-B283-2703CD2298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" authorId="0" shapeId="0" xr:uid="{9DAF9568-381B-4FB4-AC81-9178CD2534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" authorId="0" shapeId="0" xr:uid="{358FB02B-901F-4111-B98B-10FA33F3E2A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" authorId="0" shapeId="0" xr:uid="{41BAD36A-070E-4CD8-AE15-83637FF756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" authorId="0" shapeId="0" xr:uid="{8EAB46AC-A7DC-4D8A-BB22-2EAB36F8C5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" authorId="0" shapeId="0" xr:uid="{90239318-0AE9-4042-9E93-E06A88A653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" authorId="0" shapeId="0" xr:uid="{077B8C70-885F-4721-9C92-155D134158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" authorId="0" shapeId="0" xr:uid="{33773E5F-6ADC-434B-9C42-D86B25B443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" authorId="0" shapeId="0" xr:uid="{8CCF07A6-29F5-4E16-98F6-9B98A6E5A9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" authorId="0" shapeId="0" xr:uid="{2D0C5044-2FB4-4CB0-8B6F-FDE5FC0C10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" authorId="0" shapeId="0" xr:uid="{4F2A329A-044D-4E72-9C97-2149676C12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" authorId="0" shapeId="0" xr:uid="{CEB4F197-7731-40C9-8E53-C2662B6797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" authorId="0" shapeId="0" xr:uid="{EEBF3E21-FD54-4893-A8A1-465666DFC9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9" authorId="0" shapeId="0" xr:uid="{A7AF45A9-1C35-4305-8314-00563CCF1BF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" authorId="0" shapeId="0" xr:uid="{999D8F37-10EC-4390-9FDD-E7743C58D9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" authorId="0" shapeId="0" xr:uid="{5DB405FE-D15E-4DDD-ADA9-2F8AB1F3D1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" authorId="0" shapeId="0" xr:uid="{90DBEB36-4560-4ACB-AEF0-D4382D1BF5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" authorId="0" shapeId="0" xr:uid="{AE014D13-7D31-4946-9CBF-EB692434A1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" authorId="0" shapeId="0" xr:uid="{D89C9646-8D58-4476-A6F9-5ED73B831C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" authorId="0" shapeId="0" xr:uid="{B0AF3B18-5D65-4023-92B4-BE9E84B14A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" authorId="0" shapeId="0" xr:uid="{5F8DECF6-7F44-4039-9E3B-01050125D0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" authorId="0" shapeId="0" xr:uid="{1233DE72-206E-4DD4-8EDC-78AC1DE79A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" authorId="0" shapeId="0" xr:uid="{52E0A09A-8A8D-486E-B017-12AA5730A0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" authorId="0" shapeId="0" xr:uid="{A45829BB-B810-482D-9754-8A87286754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" authorId="0" shapeId="0" xr:uid="{4C32010A-0B7A-484B-9686-CAFB81225FD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" authorId="0" shapeId="0" xr:uid="{E27737EF-9E56-432B-8F99-F021E6555F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" authorId="0" shapeId="0" xr:uid="{05AD156B-E809-43E9-B407-E101014EF1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" authorId="0" shapeId="0" xr:uid="{1CC440C3-F4ED-4D7B-9992-15BBE4673A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" authorId="0" shapeId="0" xr:uid="{9DE87AA4-F9E2-41D8-9E96-9463D725A8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" authorId="0" shapeId="0" xr:uid="{3EB96791-92B1-4D13-9453-3C873FE9E9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" authorId="0" shapeId="0" xr:uid="{22AA8358-0A45-4ADD-A674-AE8D343C93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" authorId="0" shapeId="0" xr:uid="{EA23DA81-0801-4C08-B4BA-91AABDB7AC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" authorId="0" shapeId="0" xr:uid="{85DD0D0F-5A4B-4D4E-A043-B29A34500B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" authorId="0" shapeId="0" xr:uid="{35D15544-AE8C-4705-8586-F04FAE6BFB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" authorId="0" shapeId="0" xr:uid="{AEC02833-3F89-4D4A-842E-EE46FEE166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1" authorId="0" shapeId="0" xr:uid="{B7740B7E-3818-4E3C-8444-CBA3BADC2C9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" authorId="0" shapeId="0" xr:uid="{3DEAA6F7-9FCE-4072-85C9-B05B8325BC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" authorId="0" shapeId="0" xr:uid="{DB411314-7909-476E-8C89-7538A2FC4C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" authorId="0" shapeId="0" xr:uid="{93AE3588-64B7-452C-881C-70E622E961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" authorId="0" shapeId="0" xr:uid="{4643592E-8311-4125-B297-6EDA31F5F3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" authorId="0" shapeId="0" xr:uid="{EBAA5ECD-0ED1-4A95-A38D-23B4B043C5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" authorId="0" shapeId="0" xr:uid="{AD47942C-BFA6-44BD-8E56-FA883E72EF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" authorId="0" shapeId="0" xr:uid="{CE78E014-92F2-4F86-8989-772939DB82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" authorId="0" shapeId="0" xr:uid="{703E5EDE-874A-46C5-BA57-1BE3885DE5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" authorId="0" shapeId="0" xr:uid="{9C971F32-80A3-4556-8E8E-54038D7A0B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" authorId="0" shapeId="0" xr:uid="{75BF3EA1-362D-40D4-B3F9-C7A7B52CA4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2" authorId="0" shapeId="0" xr:uid="{E6526F57-64D9-42EB-89F3-4B838BF04A9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3" authorId="0" shapeId="0" xr:uid="{857D0A2E-6153-40B8-B357-E79DCB5C8A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" authorId="0" shapeId="0" xr:uid="{DCCFFBF9-2C09-4DD2-A8B4-4AA0FF708A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" authorId="0" shapeId="0" xr:uid="{6FD061C7-92A6-462D-8637-4355A2ACF6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" authorId="0" shapeId="0" xr:uid="{C9472418-AF70-49C9-827C-9DC8B43DFF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" authorId="0" shapeId="0" xr:uid="{0CC8AE11-CC91-457C-9E52-03A15897A0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" authorId="0" shapeId="0" xr:uid="{2624C815-E9C4-495C-9D35-D706F43D91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" authorId="0" shapeId="0" xr:uid="{6831A363-9E4A-4E33-8A13-803EFA748F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" authorId="0" shapeId="0" xr:uid="{E4957538-FFD7-45F2-9FA7-0A4F805D95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" authorId="0" shapeId="0" xr:uid="{DB099641-BDBF-45FE-9663-0A42D8FBFC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" authorId="0" shapeId="0" xr:uid="{031502A5-2DF1-47DB-B942-3FBDFB5312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3" authorId="0" shapeId="0" xr:uid="{CCF164B5-EBAB-4D47-AAD3-6637CB07146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4" authorId="0" shapeId="0" xr:uid="{35472EDE-1F43-406A-8BD9-77F5E017F3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" authorId="0" shapeId="0" xr:uid="{853CEA8F-8D54-40A0-95A0-CC05B2070D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" authorId="0" shapeId="0" xr:uid="{D755652F-DC2B-41B7-A399-B4F378D9BA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" authorId="0" shapeId="0" xr:uid="{0006CE2F-CCF2-423A-A497-A5071A8D42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" authorId="0" shapeId="0" xr:uid="{63807C82-232E-4F1E-888D-2136AB6454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" authorId="0" shapeId="0" xr:uid="{BDC2B980-0050-48DF-B22A-09DE3EA2E3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4" authorId="0" shapeId="0" xr:uid="{B8C0E232-3B5D-421C-9643-BA271858BA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4" authorId="0" shapeId="0" xr:uid="{FCC78FEC-9F4A-4E90-955D-9F208FB4C6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4" authorId="0" shapeId="0" xr:uid="{F6A7840C-A611-4809-B400-9CE7E8D176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4" authorId="0" shapeId="0" xr:uid="{D977E2FA-38D3-4750-BBCC-5E1DBB27F6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4" authorId="0" shapeId="0" xr:uid="{65AF96E7-4D1D-44EB-B268-68A6A4F310F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5" authorId="0" shapeId="0" xr:uid="{C497FA87-D1CC-4C3A-BE44-9D34498A31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" authorId="0" shapeId="0" xr:uid="{141B41EC-657E-4BB9-A829-4DF1B24136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" authorId="0" shapeId="0" xr:uid="{70275D8C-46A2-4DEB-982E-F5659867C0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" authorId="0" shapeId="0" xr:uid="{30B3EBC2-F4A6-430B-B749-0419949DF4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" authorId="0" shapeId="0" xr:uid="{516DB588-F88D-4A82-AF76-77299BB0C9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" authorId="0" shapeId="0" xr:uid="{8AA9BEE2-C855-4E18-B37D-AFC09412FB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5" authorId="0" shapeId="0" xr:uid="{9D8D38C4-9E35-413D-AF9A-FC255EB9DD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5" authorId="0" shapeId="0" xr:uid="{F2FEACF8-D63A-449A-A4AA-77577F44C0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5" authorId="0" shapeId="0" xr:uid="{B902AC43-87D2-4E60-8E49-E240A06213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5" authorId="0" shapeId="0" xr:uid="{E1FE559B-486F-402C-87C0-3337960672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5" authorId="0" shapeId="0" xr:uid="{916AEDFE-50B6-436A-8C15-0B8D8E50F55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6" authorId="0" shapeId="0" xr:uid="{5833354E-2952-4190-B7A9-1A762C05AB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" authorId="0" shapeId="0" xr:uid="{DD0963EE-1BF6-474C-BD98-3B496362C4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" authorId="0" shapeId="0" xr:uid="{3BA90981-1ABA-4EF4-945F-6848C55BC6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" authorId="0" shapeId="0" xr:uid="{75FBFAF1-37A7-4444-9B3A-18B6A23BEA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" authorId="0" shapeId="0" xr:uid="{3A0A83EE-18A1-4961-BDA1-A6E37C3C66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" authorId="0" shapeId="0" xr:uid="{FE82FD7A-491A-4B5D-8217-AD8482FBDF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6" authorId="0" shapeId="0" xr:uid="{FEE92960-E64B-480B-8AD6-4467035268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6" authorId="0" shapeId="0" xr:uid="{E06F18B0-8F31-4C9B-8D1C-FA27FFA895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6" authorId="0" shapeId="0" xr:uid="{68B25F00-4074-45FA-9F20-5EA08045CE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6" authorId="0" shapeId="0" xr:uid="{B4EE4AEA-410A-477F-8280-E150400104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6" authorId="0" shapeId="0" xr:uid="{A88AC1BB-D41F-4CE7-9A56-C55D6450700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7" authorId="0" shapeId="0" xr:uid="{0FCA38BF-D1E9-4B18-97CF-A5406A7857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" authorId="0" shapeId="0" xr:uid="{D3E2892A-EC3B-4273-B2DF-3D5F6B06BA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" authorId="0" shapeId="0" xr:uid="{C7554A6B-7874-4629-87B1-45DC7C6242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" authorId="0" shapeId="0" xr:uid="{34F458C4-B790-4387-BE55-99657AF73C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" authorId="0" shapeId="0" xr:uid="{70660E8C-5450-4399-98F3-729DDEFC32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" authorId="0" shapeId="0" xr:uid="{FF81EB7F-31BC-446B-A389-D68F6BB3A4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7" authorId="0" shapeId="0" xr:uid="{D1C03E7D-E1EA-44CE-8808-42AE03CB41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7" authorId="0" shapeId="0" xr:uid="{6FC9666D-50AD-4872-B30E-C497E9B7FA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7" authorId="0" shapeId="0" xr:uid="{4FD7E019-B019-48AB-A627-5BBB237059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7" authorId="0" shapeId="0" xr:uid="{C935FD77-6FDD-4246-9489-1380427EDA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7" authorId="0" shapeId="0" xr:uid="{48A146A4-5A71-4959-8571-D361697200B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8" authorId="0" shapeId="0" xr:uid="{251E8641-4E7C-4173-9725-5C63FD0F84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" authorId="0" shapeId="0" xr:uid="{DF991D7F-BCFB-4BFD-98A3-E9270ABDA5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" authorId="0" shapeId="0" xr:uid="{A1815546-682D-48D0-A207-A96086B716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" authorId="0" shapeId="0" xr:uid="{3A7AA5E3-7AE7-44D1-A01D-DA1EDA2A20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" authorId="0" shapeId="0" xr:uid="{7A116D65-E15C-4358-B025-9D1F0E41A7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" authorId="0" shapeId="0" xr:uid="{E2D8092F-9555-4AEF-9F0F-9238D85526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8" authorId="0" shapeId="0" xr:uid="{EFA54611-24EE-4A72-8406-8E8CB0C473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8" authorId="0" shapeId="0" xr:uid="{294817F2-5690-4781-A991-3A8C74918F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8" authorId="0" shapeId="0" xr:uid="{51651420-153A-4F70-B95E-CE72E4A4F14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8" authorId="0" shapeId="0" xr:uid="{3A494BB8-EC72-4711-AC0C-DA44F339CD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8" authorId="0" shapeId="0" xr:uid="{B4D04B77-7F1E-46B0-BBD3-54F9B221A14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9" authorId="0" shapeId="0" xr:uid="{1DB1AD72-A83D-4F9E-8A51-A475D09A01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" authorId="0" shapeId="0" xr:uid="{136D50AE-0B49-470D-9CA0-AECB1CBE9C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" authorId="0" shapeId="0" xr:uid="{CF9608EA-8CCD-4E2C-A41E-09B34C91E5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" authorId="0" shapeId="0" xr:uid="{05196361-18FF-4580-A9A4-C0B4A7403A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" authorId="0" shapeId="0" xr:uid="{0BC00EDD-BCD6-4DF4-BA35-768B14CF26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" authorId="0" shapeId="0" xr:uid="{CCB289CC-C8A5-473F-89C4-136BE3EE93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9" authorId="0" shapeId="0" xr:uid="{D04FB6E4-F0C7-4FC5-82D3-2E0774C237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9" authorId="0" shapeId="0" xr:uid="{CCB676ED-5B2C-48E4-9C04-3F6C79D9CD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9" authorId="0" shapeId="0" xr:uid="{74037C1D-CB73-4FE8-A56C-E147C1A616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9" authorId="0" shapeId="0" xr:uid="{FBC1CCF8-414F-4F24-AC16-A254D5C85D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9" authorId="0" shapeId="0" xr:uid="{D135A644-85FF-42E7-B7AB-CAAB3BD25D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0" authorId="0" shapeId="0" xr:uid="{3585F48D-D21A-4DF7-AE85-1794815CD0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" authorId="0" shapeId="0" xr:uid="{DA7C9FC0-19F4-4325-9AC8-8E7F3F4216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" authorId="0" shapeId="0" xr:uid="{1BF85D9A-9584-41F7-9D1A-5A71A9D2FC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" authorId="0" shapeId="0" xr:uid="{A01466E5-1472-471F-9A60-3E6C542F8E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0" authorId="0" shapeId="0" xr:uid="{5AE2BD6F-0186-423C-BAD1-62291BA8EF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0" authorId="0" shapeId="0" xr:uid="{EDDDE41B-FEB4-4C33-8C70-06826384FA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0" authorId="0" shapeId="0" xr:uid="{7D208CEA-9FCC-4FFC-8F1E-F431A837F6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0" authorId="0" shapeId="0" xr:uid="{80636016-8A44-4C36-AC40-277EB12471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0" authorId="0" shapeId="0" xr:uid="{E1FBC283-A3B4-4E11-9E07-0D27FBDA0E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0" authorId="0" shapeId="0" xr:uid="{3800DEC1-3976-4ED1-AC10-F2E3CF1938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0" authorId="0" shapeId="0" xr:uid="{A54EF182-AF32-43C5-B570-1F14999A4E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1" authorId="0" shapeId="0" xr:uid="{BF8C4D85-00AB-4A5E-88B2-1D0FB024B0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1" authorId="0" shapeId="0" xr:uid="{C8226D5E-956F-4263-880B-89B0922263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1" authorId="0" shapeId="0" xr:uid="{8A1777CA-97C5-4D43-BC77-57F9B996CF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1" authorId="0" shapeId="0" xr:uid="{F2287646-B4CA-492A-8759-F978EF26DF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1" authorId="0" shapeId="0" xr:uid="{38FD5B84-340B-482D-BB23-7687755B23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1" authorId="0" shapeId="0" xr:uid="{2CF3E3CC-4782-4DDD-BCF7-58BDC0FDFA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1" authorId="0" shapeId="0" xr:uid="{029CB16F-EFF6-49B8-9D90-711057C0B5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1" authorId="0" shapeId="0" xr:uid="{55F4BDB5-DA28-4183-AE64-869953EF84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1" authorId="0" shapeId="0" xr:uid="{9763EAFD-2EDD-47D8-8A60-AA7DB14F2D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1" authorId="0" shapeId="0" xr:uid="{1475FC2D-17AC-42B9-A6E6-9C3CEF3C48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1" authorId="0" shapeId="0" xr:uid="{C6E8B013-B4CA-4780-B9CE-CF5E058008A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2" authorId="0" shapeId="0" xr:uid="{472FFA3D-62A3-4B87-9B83-4DE1235EC3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2" authorId="0" shapeId="0" xr:uid="{25C07CF3-8C89-40FD-87D8-D137B3BD4D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2" authorId="0" shapeId="0" xr:uid="{074130B0-F1E8-4C74-AC0C-645F2436D8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2" authorId="0" shapeId="0" xr:uid="{418FE0D9-17DE-43F7-BC8B-60F259E5EE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2" authorId="0" shapeId="0" xr:uid="{6D3AB404-4F49-4448-B30E-12A7870E36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2" authorId="0" shapeId="0" xr:uid="{88F7CD2A-3609-4BDD-B87A-0749CB4A09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2" authorId="0" shapeId="0" xr:uid="{78E18DDF-2420-4DC5-BDFC-A7EA5F0F10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2" authorId="0" shapeId="0" xr:uid="{8E1AF26F-A264-4CC2-95E4-BE44221C6C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2" authorId="0" shapeId="0" xr:uid="{DDCC765A-8F0A-437F-9D11-00FA6C9AC7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2" authorId="0" shapeId="0" xr:uid="{6288A1E3-56B4-49F7-9D1D-E057E08896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2" authorId="0" shapeId="0" xr:uid="{2EA9B7F2-815E-45A3-BEE6-C5A623C66E7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3" authorId="0" shapeId="0" xr:uid="{2DAACE58-E535-4D1E-B94A-8362304234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3" authorId="0" shapeId="0" xr:uid="{68BF0EEE-DA10-40EF-BE15-32FBE2F360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3" authorId="0" shapeId="0" xr:uid="{A48AB5D2-9B12-44C9-876E-C932BF69F9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3" authorId="0" shapeId="0" xr:uid="{42BA8D4F-51D4-4215-89E6-9CB396BA6A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3" authorId="0" shapeId="0" xr:uid="{342ABC68-D706-4438-ADE6-106887AEF6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3" authorId="0" shapeId="0" xr:uid="{DA0E9561-E0F0-4598-B2A0-B0D35F67D0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3" authorId="0" shapeId="0" xr:uid="{7AF745EB-6FCC-4112-8CBD-4952D764E3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3" authorId="0" shapeId="0" xr:uid="{05ECA1C7-FB35-476D-948B-7475906FD2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3" authorId="0" shapeId="0" xr:uid="{00D5D03B-69C2-4246-8653-E7972D5B68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3" authorId="0" shapeId="0" xr:uid="{BC5618B3-A141-480A-B687-978E1FC0ED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3" authorId="0" shapeId="0" xr:uid="{087B14A7-60A4-453C-BCB9-AF97A16D1E0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4" authorId="0" shapeId="0" xr:uid="{DEEB5B5A-A05A-4B4E-AD9E-EBD957A847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4" authorId="0" shapeId="0" xr:uid="{1DBDD9BB-6A73-4FC4-B3DF-E49CB85FC1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4" authorId="0" shapeId="0" xr:uid="{6D0BFF82-9F78-42D9-AD65-A6035259AD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4" authorId="0" shapeId="0" xr:uid="{46BF9A7F-DF86-4F5F-B3D2-804B9579C1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4" authorId="0" shapeId="0" xr:uid="{813B0E9C-B727-42F5-A9B6-8E4984BC5E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4" authorId="0" shapeId="0" xr:uid="{E1A74B7D-4892-462B-9F03-ED4C3D4421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4" authorId="0" shapeId="0" xr:uid="{ABBDC4F6-C9B4-453B-A159-5EAE165C3D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4" authorId="0" shapeId="0" xr:uid="{CAF385FC-819D-4F09-931F-BCE2FBF2F0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4" authorId="0" shapeId="0" xr:uid="{2EAB7DA9-7B98-49F5-A8E5-5DE233D6D0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4" authorId="0" shapeId="0" xr:uid="{42FF467C-B2C4-4BEF-8207-64F16869D6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4" authorId="0" shapeId="0" xr:uid="{2CFFBB95-61F6-4BC1-A5AF-FAC1DE71617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5" authorId="0" shapeId="0" xr:uid="{A44B19FB-F23E-4E39-9D3E-65646D2A3C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5" authorId="0" shapeId="0" xr:uid="{E8233AF3-DC23-413F-80BD-FEEC8A0573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5" authorId="0" shapeId="0" xr:uid="{EEAA643C-BF3E-4432-BE76-0DEEC1C72F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5" authorId="0" shapeId="0" xr:uid="{5E7D2323-1917-4B42-828D-74A149FD8B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5" authorId="0" shapeId="0" xr:uid="{722B307C-222A-48AC-9704-6B0D21A7DF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5" authorId="0" shapeId="0" xr:uid="{61259E86-2F1F-4803-9D64-653789AB71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5" authorId="0" shapeId="0" xr:uid="{8ED28562-9D0C-4496-9118-44D720EF09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5" authorId="0" shapeId="0" xr:uid="{26FA1A27-8099-4F3B-B756-83034E02E5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5" authorId="0" shapeId="0" xr:uid="{BC5005A8-E595-40B4-A10A-E1567816CC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5" authorId="0" shapeId="0" xr:uid="{A8C1EC4F-2CEF-4B30-86B3-07ACF8F6A8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5" authorId="0" shapeId="0" xr:uid="{CDCFA0DE-6F80-4DB0-A143-4BF4B7A10A8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8" authorId="0" shapeId="0" xr:uid="{5F58682F-2DE5-4ABB-9BC0-A892A688E3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8" authorId="0" shapeId="0" xr:uid="{44563CA0-F235-4A5F-BFE0-1EAC916C0F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8" authorId="0" shapeId="0" xr:uid="{134CB956-4D1F-4301-B10A-43DFD293BD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8" authorId="0" shapeId="0" xr:uid="{0E15A996-A271-456F-8B87-6B54EEE711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8" authorId="0" shapeId="0" xr:uid="{65867AF3-C218-495B-B9A1-917B32B34A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8" authorId="0" shapeId="0" xr:uid="{97B2AE96-8150-4D49-B8A1-B1283830DC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8" authorId="0" shapeId="0" xr:uid="{D25B0F07-D392-4A35-B6F2-1B999E21BE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8" authorId="0" shapeId="0" xr:uid="{8A7EF48E-1A0B-4E36-9118-C307004479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8" authorId="0" shapeId="0" xr:uid="{FFA6B8CC-22B1-4FC9-976A-D152BA19DD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8" authorId="0" shapeId="0" xr:uid="{35C0E9D6-E42D-4300-9749-67642A6BC9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8" authorId="0" shapeId="0" xr:uid="{37F99B54-CE44-412A-9E6B-AA50FA42A5F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9" authorId="0" shapeId="0" xr:uid="{ABA88D92-253A-4A42-884F-95F8B19A09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9" authorId="0" shapeId="0" xr:uid="{1CF6B5CA-BF5D-45E3-9D33-8D48D1C606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9" authorId="0" shapeId="0" xr:uid="{32419274-0497-4CC3-8773-2553D7F1DE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9" authorId="0" shapeId="0" xr:uid="{B3301550-4804-45FE-9AF2-829FDCFF4D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9" authorId="0" shapeId="0" xr:uid="{5FBF2BF1-0E29-464D-A8AD-AF5CC13E4C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9" authorId="0" shapeId="0" xr:uid="{1C9F3A03-2F4E-4E1B-A0BF-C361D8EF10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9" authorId="0" shapeId="0" xr:uid="{62204552-3D5E-4CD3-9B9E-9700B932C2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9" authorId="0" shapeId="0" xr:uid="{FF1906CE-7AD4-4369-BDE5-E73BAB21A5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9" authorId="0" shapeId="0" xr:uid="{CB9A70A1-F879-4B9A-A568-5CC50D77CA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9" authorId="0" shapeId="0" xr:uid="{EE210E6F-F4F5-4DC7-9C52-6478C42C84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9" authorId="0" shapeId="0" xr:uid="{166B2C2D-684B-4194-84F6-6D9C05E88F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0" authorId="0" shapeId="0" xr:uid="{EEF3848C-A85E-4EFD-B972-3524D766F4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0" authorId="0" shapeId="0" xr:uid="{DA273474-8AF3-4A3C-9145-299EFA8EAA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0" authorId="0" shapeId="0" xr:uid="{441F239E-3587-4ACC-A762-CBC1BF55A0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0" authorId="0" shapeId="0" xr:uid="{BAD46CAD-EB27-49E7-AEDE-EC9688A7B5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0" authorId="0" shapeId="0" xr:uid="{C7CD46D9-26C2-43FF-8B5C-BEB56274BE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0" authorId="0" shapeId="0" xr:uid="{150A0870-7D0D-4222-A4EF-0C48923B9A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0" authorId="0" shapeId="0" xr:uid="{D504A048-2E2A-45BD-9B66-E08C7E42A3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0" authorId="0" shapeId="0" xr:uid="{9BFF751E-FD1E-483F-BE55-664E66E64C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0" authorId="0" shapeId="0" xr:uid="{D89FA554-2127-4FE5-9A72-167B02E412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0" authorId="0" shapeId="0" xr:uid="{27AE9AA1-0257-471D-B6BC-7DD66E0455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0" authorId="0" shapeId="0" xr:uid="{5817A49C-EC56-4F9C-A368-5BF26B63125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1" authorId="0" shapeId="0" xr:uid="{A40C13A9-B69B-4B9D-B939-095CF6F360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1" authorId="0" shapeId="0" xr:uid="{7786C2DC-9B02-48FA-99C8-7CE993C42B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1" authorId="0" shapeId="0" xr:uid="{2F7F29A6-7E51-47DF-B341-8F2C823DDB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1" authorId="0" shapeId="0" xr:uid="{CD60CE69-11C2-476E-BDE3-E89729DA30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1" authorId="0" shapeId="0" xr:uid="{0A496020-3D95-4C20-BA8E-F13884F4DB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1" authorId="0" shapeId="0" xr:uid="{4D0F75F6-DB0C-432F-B525-8EBEFD35E3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1" authorId="0" shapeId="0" xr:uid="{E7159D50-C0CE-4F0C-9C96-10ABCEB0F5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1" authorId="0" shapeId="0" xr:uid="{884197BC-D825-4217-AAEE-E6330B18D9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1" authorId="0" shapeId="0" xr:uid="{097E21DA-2BE2-4ABD-B40C-4F96874E24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1" authorId="0" shapeId="0" xr:uid="{B21C9883-FB93-43EA-BFA6-F2C14AE951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1" authorId="0" shapeId="0" xr:uid="{B5D7CABB-DE26-4A0B-A18B-0B58112C3D3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2" authorId="0" shapeId="0" xr:uid="{2F7072C1-AEBA-46B6-8F09-08228DF2BD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2" authorId="0" shapeId="0" xr:uid="{418839D2-C990-42D2-B50A-43C5CEE9BA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" authorId="0" shapeId="0" xr:uid="{3456D0FD-798F-4C00-AA78-5C9F725860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2" authorId="0" shapeId="0" xr:uid="{BED86BD0-A416-4388-BD82-C016857BCC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2" authorId="0" shapeId="0" xr:uid="{CFBB822A-FA20-4186-8FC0-BF1F49DEE4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2" authorId="0" shapeId="0" xr:uid="{4FCB0C95-7801-48E9-9FA0-0AE3B2639E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2" authorId="0" shapeId="0" xr:uid="{EAF6555F-F8C4-4298-80DE-993DBC4EEA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2" authorId="0" shapeId="0" xr:uid="{9865DDC5-FB08-419D-BFD8-578778504B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2" authorId="0" shapeId="0" xr:uid="{F45A1962-843A-4A60-845F-374DDDF98B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2" authorId="0" shapeId="0" xr:uid="{BE8805F0-4861-4149-8BA3-9BBBA8EF3F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2" authorId="0" shapeId="0" xr:uid="{D60DFFD8-D8A6-4F2C-9EE3-5A154EA5A71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3" authorId="0" shapeId="0" xr:uid="{F3E6869D-C9AE-4D1A-B19E-E0FA9D4BC5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3" authorId="0" shapeId="0" xr:uid="{EF882402-B574-426D-8D75-DD43C77908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" authorId="0" shapeId="0" xr:uid="{4F316577-81AC-4D6A-A51B-7FB98EABFA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3" authorId="0" shapeId="0" xr:uid="{3158C8C3-6C35-4AC4-BBCD-4CBFB2D752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3" authorId="0" shapeId="0" xr:uid="{4FABDE1D-44EF-47FA-AE7A-0EF6361FAF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3" authorId="0" shapeId="0" xr:uid="{4C783BCA-4559-4BBC-997D-86AC8F8EF0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3" authorId="0" shapeId="0" xr:uid="{9CA13CA7-6C28-4992-ABF2-322C224E46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3" authorId="0" shapeId="0" xr:uid="{34D2F88D-BC71-43AF-9A17-1385F7508E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3" authorId="0" shapeId="0" xr:uid="{2BA9DABA-4616-4B51-9C0A-3FB04290F4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3" authorId="0" shapeId="0" xr:uid="{05763884-B673-4A4A-BD1D-05AC425F4F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3" authorId="0" shapeId="0" xr:uid="{A088C43D-99CA-4E5F-BF52-30D6486D603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4" authorId="0" shapeId="0" xr:uid="{26014971-0AEC-44A3-89D9-EBAD181BEF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4" authorId="0" shapeId="0" xr:uid="{FE011535-2BAD-4311-A52A-41842199A0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" authorId="0" shapeId="0" xr:uid="{94C17667-870C-45C1-8513-C14F86FCBC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4" authorId="0" shapeId="0" xr:uid="{036B562C-A577-40B6-BB50-5D357C1050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4" authorId="0" shapeId="0" xr:uid="{70002A5F-A075-4CF2-A3AB-28D67351D3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4" authorId="0" shapeId="0" xr:uid="{A18CDC83-8088-4543-B26E-101BF25BBA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4" authorId="0" shapeId="0" xr:uid="{99123C10-F6BC-4A9C-9163-8FD0A2A575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4" authorId="0" shapeId="0" xr:uid="{40E0C989-628E-49BC-8734-825249B4CD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4" authorId="0" shapeId="0" xr:uid="{BCE8F44F-D875-4D17-A479-B2732C63DC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4" authorId="0" shapeId="0" xr:uid="{F6BBE22E-8AB9-4576-8B1E-AFF6634992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4" authorId="0" shapeId="0" xr:uid="{17BD5080-0FAA-45CC-B02A-AC8DED361A6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5" authorId="0" shapeId="0" xr:uid="{120321DB-8B2B-4D2A-B007-C1CEF4FA84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5" authorId="0" shapeId="0" xr:uid="{4C1BB9BD-D575-4564-ADFC-246FEE650E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5" authorId="0" shapeId="0" xr:uid="{F028224F-757B-4CCF-B157-27AB6CBEB7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5" authorId="0" shapeId="0" xr:uid="{F25293A9-C3E3-441B-B4A6-74BBFB0B0D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5" authorId="0" shapeId="0" xr:uid="{89EFBF2F-EB8E-4114-B593-E62519AC55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5" authorId="0" shapeId="0" xr:uid="{05D2C7FA-27CB-412D-B829-48CE92501B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5" authorId="0" shapeId="0" xr:uid="{98592455-86F0-4A54-AB6C-C785FD01E4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5" authorId="0" shapeId="0" xr:uid="{0C637313-B6A6-4C54-9FF7-74D955E908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5" authorId="0" shapeId="0" xr:uid="{FB429F64-E805-4BDD-B2EC-DC3BFB9645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5" authorId="0" shapeId="0" xr:uid="{F681A7C8-9BDC-4AC7-A948-A969B66DFB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5" authorId="0" shapeId="0" xr:uid="{AA7EECDF-00CC-4CE0-9067-B9EB46D197D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6" authorId="0" shapeId="0" xr:uid="{C31A6770-D1A4-4F60-AA01-B37B0DFAEA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6" authorId="0" shapeId="0" xr:uid="{64F58CAB-CA1E-49C7-9EE2-61CD55304A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6" authorId="0" shapeId="0" xr:uid="{063F596A-1613-478C-888B-5BDFA861FC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6" authorId="0" shapeId="0" xr:uid="{FA748C02-332F-4347-B7EF-CA0E9A73A4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6" authorId="0" shapeId="0" xr:uid="{677C749A-A6BA-4EBD-90B0-D3074119B2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6" authorId="0" shapeId="0" xr:uid="{E039DFE9-DAA1-4816-9A90-DC1D6171A8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6" authorId="0" shapeId="0" xr:uid="{4E7AD9AD-D6F7-4575-8FAB-F5C33453B2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6" authorId="0" shapeId="0" xr:uid="{88CF6117-BC29-46B3-9B71-F65EC3773F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6" authorId="0" shapeId="0" xr:uid="{274B624C-7B9D-43E4-AC9D-41B1222274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6" authorId="0" shapeId="0" xr:uid="{F285A846-CE77-411F-B137-60EBCAD757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6" authorId="0" shapeId="0" xr:uid="{F32AAC0E-F239-4752-9049-72EC36C58D3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7" authorId="0" shapeId="0" xr:uid="{218907B4-79D7-4636-9F58-B5C73142E8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7" authorId="0" shapeId="0" xr:uid="{24757DA0-203D-42E1-94C8-956EF5C6D1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7" authorId="0" shapeId="0" xr:uid="{221F309F-9A60-47B3-9B64-3816189F56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7" authorId="0" shapeId="0" xr:uid="{8D108CE5-98D7-42BA-960F-23A4617806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7" authorId="0" shapeId="0" xr:uid="{B43A1E24-5018-410D-8204-D0EC68CAD8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7" authorId="0" shapeId="0" xr:uid="{6C1FB18C-C0D6-406B-9CAA-554C9DE951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7" authorId="0" shapeId="0" xr:uid="{3084B909-975F-41C6-9BE6-3F12935B08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7" authorId="0" shapeId="0" xr:uid="{EEF851BD-6485-475C-A7BA-D2E3398656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7" authorId="0" shapeId="0" xr:uid="{9983C768-BA04-4570-8069-05359AD038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7" authorId="0" shapeId="0" xr:uid="{79BDF738-1B0E-4476-ACAB-7E44E10501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7" authorId="0" shapeId="0" xr:uid="{7EC51F77-A13B-46C3-8910-A128A5F4AC4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8" authorId="0" shapeId="0" xr:uid="{9655AFE1-6B51-492F-8B07-0860A8B252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8" authorId="0" shapeId="0" xr:uid="{A950FDE5-5992-4F5F-B0C2-964FE9566D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" authorId="0" shapeId="0" xr:uid="{01EC0322-9567-413C-9DE3-D66FD992BE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8" authorId="0" shapeId="0" xr:uid="{BCD7BD47-90E9-42B6-9DDD-0CE0813336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8" authorId="0" shapeId="0" xr:uid="{72B34D68-87AA-44B6-AA90-56F982FC84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8" authorId="0" shapeId="0" xr:uid="{6C90088F-6CE5-47FD-BD5C-B47BB66899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8" authorId="0" shapeId="0" xr:uid="{582AE986-9401-4A12-A173-22DC210F40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8" authorId="0" shapeId="0" xr:uid="{4978CB52-2ABA-4342-B71B-741A71612B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8" authorId="0" shapeId="0" xr:uid="{24C09200-9229-4D92-96E9-9334D74833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8" authorId="0" shapeId="0" xr:uid="{09DB36C3-5405-417E-A318-1CB143E769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8" authorId="0" shapeId="0" xr:uid="{1FD02F2F-00EC-4D7A-BC59-9B0E99128EF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9" authorId="0" shapeId="0" xr:uid="{6134A77F-418F-4876-80E5-24D491EB87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9" authorId="0" shapeId="0" xr:uid="{4A594B31-EB32-47DD-916F-AC3A7E9B93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9" authorId="0" shapeId="0" xr:uid="{1F05CCFD-9DC7-457F-9AA9-1C6B6CEB14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9" authorId="0" shapeId="0" xr:uid="{AB4C6824-C6C4-4908-9FBD-24FA7E3E76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9" authorId="0" shapeId="0" xr:uid="{0B89A984-2298-4625-86CC-11343B5B9F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9" authorId="0" shapeId="0" xr:uid="{318848C0-26D8-493E-9033-4200720D72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9" authorId="0" shapeId="0" xr:uid="{07EF25E1-B7F1-44FA-A5E0-E2D3A29B55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9" authorId="0" shapeId="0" xr:uid="{5E128C4E-3F67-4972-A55E-7DBC37C64A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9" authorId="0" shapeId="0" xr:uid="{B9A27986-4B43-42FE-9378-C01EFBB9B3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9" authorId="0" shapeId="0" xr:uid="{FF40B0BB-7A96-4877-9536-DAB22A17AF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9" authorId="0" shapeId="0" xr:uid="{4AC7A076-8933-4AF2-8E8B-374B3C7CAE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0" authorId="0" shapeId="0" xr:uid="{FDE06AB2-9DB6-4BEA-B489-5777C05D08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0" authorId="0" shapeId="0" xr:uid="{4E5070D1-420B-436F-88F2-D4C0D1D047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0" authorId="0" shapeId="0" xr:uid="{D7F8C302-AA94-4DDF-BF36-65703F5E79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0" authorId="0" shapeId="0" xr:uid="{FFB28128-08F2-4A31-96BA-78A0F6B02F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0" authorId="0" shapeId="0" xr:uid="{F867F43C-9422-4182-9454-13969D816A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0" authorId="0" shapeId="0" xr:uid="{DAC75F87-B9B4-4C34-8108-E17B12436C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0" authorId="0" shapeId="0" xr:uid="{4A1E1413-18DC-4003-8311-DC98986175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0" authorId="0" shapeId="0" xr:uid="{023C6DDF-90C3-4800-95FA-EC50C7D7D8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0" authorId="0" shapeId="0" xr:uid="{936D41A5-6923-4623-A36C-A995701C74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0" authorId="0" shapeId="0" xr:uid="{9B6D2166-C890-4AAD-A4E6-D76EEAA878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0" authorId="0" shapeId="0" xr:uid="{C0F4226D-8E95-40A3-B95E-26CC11365F1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1" authorId="0" shapeId="0" xr:uid="{E9B3C4DF-FAC5-4022-9C24-E834A7BB75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1" authorId="0" shapeId="0" xr:uid="{C43B6EF3-D764-4967-B5A7-E97F270DF7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1" authorId="0" shapeId="0" xr:uid="{E59561EE-8396-4083-9F08-137AE15474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1" authorId="0" shapeId="0" xr:uid="{E2732FE4-C919-4239-B5E4-3B0DA06C03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1" authorId="0" shapeId="0" xr:uid="{F62E5ED3-360D-44F8-A7F6-6994172530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1" authorId="0" shapeId="0" xr:uid="{3045BD09-FA07-4397-A971-66FB358610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1" authorId="0" shapeId="0" xr:uid="{348BC0D9-67CD-49B9-A921-9C38A3CE0C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1" authorId="0" shapeId="0" xr:uid="{BA051A1B-CFE8-4645-A855-FD64F75AED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1" authorId="0" shapeId="0" xr:uid="{F6D0A5FF-AE73-4C3A-9B3F-FDB67D1E55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1" authorId="0" shapeId="0" xr:uid="{0126FE07-970F-4942-A4D5-BAFFA385C2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1" authorId="0" shapeId="0" xr:uid="{E96ACA3E-1068-45F8-9250-B8B197AF9F1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2" authorId="0" shapeId="0" xr:uid="{FD419A24-25BD-4F88-BE6B-E681C95015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2" authorId="0" shapeId="0" xr:uid="{59293585-6E00-44BD-869D-8E0254DB2B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2" authorId="0" shapeId="0" xr:uid="{29F8C3F2-051A-4080-8304-3A6CC03CC6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2" authorId="0" shapeId="0" xr:uid="{5D46332A-2925-4143-A084-7BB3C3E910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2" authorId="0" shapeId="0" xr:uid="{5F7A6449-AF8C-4989-814A-96D96A52B2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2" authorId="0" shapeId="0" xr:uid="{BB3824DC-BC5E-41AF-8E12-8C888B95A9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2" authorId="0" shapeId="0" xr:uid="{4410CDC1-4E8F-4CAB-8B6D-B40E82DF0F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2" authorId="0" shapeId="0" xr:uid="{D9F7EA61-BFD3-4CBE-9DB5-032535F4F9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2" authorId="0" shapeId="0" xr:uid="{AE45514E-5173-4431-B386-35632D3DB0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2" authorId="0" shapeId="0" xr:uid="{788EB886-3911-4623-BEB6-735B8B198A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2" authorId="0" shapeId="0" xr:uid="{B6EC476A-BDC0-4A91-ADC1-95D0AF5EAA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3" authorId="0" shapeId="0" xr:uid="{689EF408-7FA3-4CD9-9893-DADA62CCEE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3" authorId="0" shapeId="0" xr:uid="{4CC31D2C-C255-4D19-B5F2-F8F975E787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3" authorId="0" shapeId="0" xr:uid="{C86AF189-F362-48C4-99DC-28C2EE41F4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3" authorId="0" shapeId="0" xr:uid="{097FA465-6155-4CE2-A754-2E569245AA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3" authorId="0" shapeId="0" xr:uid="{5418F8B8-F106-4674-A004-24FA25B46A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3" authorId="0" shapeId="0" xr:uid="{C3F490AD-F784-4B35-BCA4-69D20D21D1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3" authorId="0" shapeId="0" xr:uid="{FDA8073A-62DE-42FB-8B73-DEB103BD7F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3" authorId="0" shapeId="0" xr:uid="{6E264BD1-27CB-48A3-A20B-BE0A9BAC26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3" authorId="0" shapeId="0" xr:uid="{2A98B246-0422-4FF0-8AAC-622A4751AF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3" authorId="0" shapeId="0" xr:uid="{3AE1D43F-C425-420A-AEE9-66B20730D0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3" authorId="0" shapeId="0" xr:uid="{4F0E4046-3533-4D19-838F-97FDBA8CA15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4" authorId="0" shapeId="0" xr:uid="{37B16FC1-5BA5-4056-AF3B-A65EA7F65F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4" authorId="0" shapeId="0" xr:uid="{0BE3AC8E-5B9D-49E6-9E48-F33F80625B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4" authorId="0" shapeId="0" xr:uid="{5F2ED701-9CBF-4D38-B8F7-220E03CFCD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4" authorId="0" shapeId="0" xr:uid="{E4462091-73CA-4C55-A290-72E61C5DCF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4" authorId="0" shapeId="0" xr:uid="{CC6D8CC0-2F7D-42C4-AE59-6F987248B1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4" authorId="0" shapeId="0" xr:uid="{59B79C61-23E1-4844-9173-3AEB6FDF6D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4" authorId="0" shapeId="0" xr:uid="{179367CC-6789-4FFC-97FD-321B8FB14F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4" authorId="0" shapeId="0" xr:uid="{9E2B8724-0D3F-4D92-B20B-7AE2BC4108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4" authorId="0" shapeId="0" xr:uid="{B8586265-5FDB-4C23-B1BE-11F7A0BF62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4" authorId="0" shapeId="0" xr:uid="{594FC921-A373-4394-87B6-19A9123A78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4" authorId="0" shapeId="0" xr:uid="{9F715DEB-F19F-4578-A40C-730F9D702CF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5" authorId="0" shapeId="0" xr:uid="{D99E8E04-C203-4DDF-BB35-BCDAF5CD9F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5" authorId="0" shapeId="0" xr:uid="{D25960A2-8337-4074-95E6-C2DFAC0D7D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5" authorId="0" shapeId="0" xr:uid="{072444D7-EFE6-4419-BA62-FC6277400C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5" authorId="0" shapeId="0" xr:uid="{995A6785-E1FA-479A-BF15-89C86374AE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5" authorId="0" shapeId="0" xr:uid="{4C67B9A8-57BE-4259-AF90-7F9AF58F72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5" authorId="0" shapeId="0" xr:uid="{C83C5763-6BB9-4873-B148-F3C0BE853A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5" authorId="0" shapeId="0" xr:uid="{1D4597E3-BB05-45D3-AC0F-1816A8A0B4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5" authorId="0" shapeId="0" xr:uid="{3BE69F16-692B-4353-AEA7-4005DF014F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5" authorId="0" shapeId="0" xr:uid="{2ECE7EED-0C1F-44AA-9313-C4284332D9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5" authorId="0" shapeId="0" xr:uid="{F477797E-3974-4BCC-8176-A77B043802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5" authorId="0" shapeId="0" xr:uid="{5C31F8ED-0FB8-4171-AA3B-9FED162F163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6" authorId="0" shapeId="0" xr:uid="{77B95D9B-EE47-4894-A1EF-43DE06225D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6" authorId="0" shapeId="0" xr:uid="{CF936F51-987D-4F0A-96E5-FA02D8850B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6" authorId="0" shapeId="0" xr:uid="{6C19AFD7-8F3B-4AA4-B7D7-28D66B7E71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6" authorId="0" shapeId="0" xr:uid="{7AFD6220-5FAB-4808-B843-74745889F2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6" authorId="0" shapeId="0" xr:uid="{08F8A0ED-F7C6-42E2-9058-64A8707890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6" authorId="0" shapeId="0" xr:uid="{0C1E2A97-766F-4BD4-8511-9C91E5D329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6" authorId="0" shapeId="0" xr:uid="{DAED5FA9-18D4-4EC4-95D6-FBE729D9D2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6" authorId="0" shapeId="0" xr:uid="{4C47E44B-0B4D-4E66-9D64-3E03EBE4A0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6" authorId="0" shapeId="0" xr:uid="{A0EAC9BC-3ADF-4816-96CD-17CBB0E063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6" authorId="0" shapeId="0" xr:uid="{08A219FC-6426-4E2E-9CD2-BE60EF813A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6" authorId="0" shapeId="0" xr:uid="{40C4E1FD-B311-4FF2-8CEC-D3951CCBC8E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7" authorId="0" shapeId="0" xr:uid="{72A4E5B8-59B0-4404-87ED-91055762FC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7" authorId="0" shapeId="0" xr:uid="{F715CF8D-D0ED-423E-BF05-23D15AFF71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7" authorId="0" shapeId="0" xr:uid="{59639A98-7A01-4843-9A9B-E68DBBA146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7" authorId="0" shapeId="0" xr:uid="{3CB79747-EDD2-4247-8EE3-00405E17AC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7" authorId="0" shapeId="0" xr:uid="{672BD23D-41CD-494F-A392-528F9051C2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7" authorId="0" shapeId="0" xr:uid="{39EF31CF-9A2C-4EA3-B9F6-79206F7A5B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7" authorId="0" shapeId="0" xr:uid="{66700E50-70B9-4018-896B-91F0D63437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7" authorId="0" shapeId="0" xr:uid="{7DF52460-2108-4958-8962-B60AFBCD35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7" authorId="0" shapeId="0" xr:uid="{57798C82-BEC1-4C47-A513-376E704025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7" authorId="0" shapeId="0" xr:uid="{D73984F6-A5E2-4820-8CC3-8C8265231F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7" authorId="0" shapeId="0" xr:uid="{B67208E7-70CB-4F21-9E4D-C6A179112C5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8" authorId="0" shapeId="0" xr:uid="{1E472C62-CA9B-473A-9C9D-B4FAB4F9BF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8" authorId="0" shapeId="0" xr:uid="{93E964F2-5009-4CF2-89EC-A9DC0DC149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8" authorId="0" shapeId="0" xr:uid="{3155221B-E207-4A6F-A1C6-66B3CD2E91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8" authorId="0" shapeId="0" xr:uid="{9E84F807-A76D-4789-B1FC-21EF73C33E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8" authorId="0" shapeId="0" xr:uid="{54E0E13D-1235-4092-B475-27DF4A4A25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8" authorId="0" shapeId="0" xr:uid="{7A59F87C-5004-4F49-98DD-30F08026DD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8" authorId="0" shapeId="0" xr:uid="{B5CD30B5-2DC1-4E0D-9226-9F67409B8C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8" authorId="0" shapeId="0" xr:uid="{3C0947C3-23B7-4F9E-BD49-84CBB58E50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8" authorId="0" shapeId="0" xr:uid="{E6ADC79A-4FDD-4068-811B-DEE6150954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8" authorId="0" shapeId="0" xr:uid="{2F5824B6-A83B-43A6-B45E-45CC57B9B0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8" authorId="0" shapeId="0" xr:uid="{F0B0816B-E7CC-467A-AC50-A4DFB079553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1" authorId="0" shapeId="0" xr:uid="{D728A51E-4B0B-474A-90F0-4674D586CD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1" authorId="0" shapeId="0" xr:uid="{53C10E9D-0358-48AF-B63C-6F508940D0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1" authorId="0" shapeId="0" xr:uid="{6A04A3B5-BFCA-4777-984F-603A98E91C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1" authorId="0" shapeId="0" xr:uid="{E59E12CF-D560-41E6-B1C6-99DC5758CE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1" authorId="0" shapeId="0" xr:uid="{A58A8F31-C25E-4B26-90F4-B987ADC09B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1" authorId="0" shapeId="0" xr:uid="{D1D60D2A-58A1-42FF-82A6-5148D3B3B0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1" authorId="0" shapeId="0" xr:uid="{2E625BB2-FA17-45FC-A837-600B8739B1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1" authorId="0" shapeId="0" xr:uid="{3EA98055-1BE3-4FA1-8183-4F52C3C4A1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1" authorId="0" shapeId="0" xr:uid="{2C53610E-8CC3-4DD5-A948-15E875E8DF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1" authorId="0" shapeId="0" xr:uid="{61049F7A-0898-471B-9B5B-BEA3E3CDED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1" authorId="0" shapeId="0" xr:uid="{EBD6CEBF-9157-4270-8B3F-1157952B70E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2" authorId="0" shapeId="0" xr:uid="{A9FA4C77-0D88-4276-98B8-784E0F8263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2" authorId="0" shapeId="0" xr:uid="{4CC10E1A-A0F9-4B2E-8559-506742D90A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2" authorId="0" shapeId="0" xr:uid="{FC70C390-4E3C-4FA7-991C-E08572ECCE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2" authorId="0" shapeId="0" xr:uid="{9BA03F67-0D6A-4925-AF99-15BFFDFF58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2" authorId="0" shapeId="0" xr:uid="{F9DA83E4-3202-41E6-B231-A2D235F8AD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2" authorId="0" shapeId="0" xr:uid="{887054CE-02F8-448B-B859-99ED8B0133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2" authorId="0" shapeId="0" xr:uid="{CF6639C8-76D9-4063-85D6-D51264908D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2" authorId="0" shapeId="0" xr:uid="{560E232D-D50F-45A6-914D-37FD9D41F0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2" authorId="0" shapeId="0" xr:uid="{CC46EFD5-369B-4E9E-AFCB-D7419DCFAC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2" authorId="0" shapeId="0" xr:uid="{5B41B038-9264-4D67-9158-4A666B7BD7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2" authorId="0" shapeId="0" xr:uid="{0BC99E7F-0DDD-4BCF-B25A-AFE447AB07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3" authorId="0" shapeId="0" xr:uid="{05E0FA20-0F76-479D-9288-1B36005A0A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3" authorId="0" shapeId="0" xr:uid="{B9CAF49B-D860-49CA-BE9F-E04C19BB4C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3" authorId="0" shapeId="0" xr:uid="{021B4343-D6BC-4F8A-9FD7-2F9C232C3B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3" authorId="0" shapeId="0" xr:uid="{A9CF03C2-C292-4C1B-88B1-1D4059F16D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3" authorId="0" shapeId="0" xr:uid="{58D06185-44C4-4F23-A109-3FC0D65C17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3" authorId="0" shapeId="0" xr:uid="{FCAF0F61-6163-40A3-A525-26431D6312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3" authorId="0" shapeId="0" xr:uid="{E93FD4C8-FCA2-41DD-944A-58E20B39C9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3" authorId="0" shapeId="0" xr:uid="{F91962AF-D985-499A-810F-C8B2BF003F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3" authorId="0" shapeId="0" xr:uid="{E523090F-FFFC-4BB7-BE81-125F328F8D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3" authorId="0" shapeId="0" xr:uid="{2E2084A2-582D-4D90-8DB5-520A9D743D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3" authorId="0" shapeId="0" xr:uid="{4B578CC9-7C7B-4F81-98F4-862E3C9C47A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4" authorId="0" shapeId="0" xr:uid="{4DB9C087-B708-4D2F-BA08-6530CF2749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4" authorId="0" shapeId="0" xr:uid="{9895A0A4-415B-4FCC-B266-5F4D4A1A10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4" authorId="0" shapeId="0" xr:uid="{3B00FF11-A18F-49B6-8487-9A5C35B573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4" authorId="0" shapeId="0" xr:uid="{808FDE21-E53C-425C-A3CF-B9A166D4C1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4" authorId="0" shapeId="0" xr:uid="{69362892-6CE5-4B3F-AEAD-293A7B3C6A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4" authorId="0" shapeId="0" xr:uid="{CB86B0F1-3551-41C7-AF7F-0101406E33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4" authorId="0" shapeId="0" xr:uid="{1B8C8F50-DD39-4EE5-9FBD-BB090F35AD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4" authorId="0" shapeId="0" xr:uid="{6DE47712-04A6-49F4-8234-8C8EA56B9B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4" authorId="0" shapeId="0" xr:uid="{726275E2-F960-4B10-BD0B-E947E87BEB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4" authorId="0" shapeId="0" xr:uid="{98C24313-4CE1-4A3A-BD06-CEDBD4C302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4" authorId="0" shapeId="0" xr:uid="{D35834EB-0DD6-40F5-99BD-A3B3D7CB300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5" authorId="0" shapeId="0" xr:uid="{ACAADF16-83DA-4FB3-9A5D-EAC676E591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5" authorId="0" shapeId="0" xr:uid="{29ACFD36-BB5F-4507-8A5F-CB911DCB79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5" authorId="0" shapeId="0" xr:uid="{67D23199-FF00-4F2C-AD57-F3180B2F45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5" authorId="0" shapeId="0" xr:uid="{79CF1380-E2EA-4267-AE0F-5149E3CFC9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5" authorId="0" shapeId="0" xr:uid="{0D8097E9-A774-4EB4-924B-13FF067156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5" authorId="0" shapeId="0" xr:uid="{E2E68B08-DFD6-4901-BE63-5E9A91FEAB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5" authorId="0" shapeId="0" xr:uid="{D647074B-AB07-4CE0-9B59-757B73AFC4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5" authorId="0" shapeId="0" xr:uid="{764C0B26-9D16-4260-8A9E-0D2C179C29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5" authorId="0" shapeId="0" xr:uid="{E1047A1C-2D62-4DDE-B457-4B4C2CBCDD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5" authorId="0" shapeId="0" xr:uid="{7185E471-2EDC-48F6-B5A5-2C55146E77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5" authorId="0" shapeId="0" xr:uid="{5C4D9FF2-C686-4764-89EB-585EA67E0D4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6" authorId="0" shapeId="0" xr:uid="{60958353-0AE1-4708-8EAD-62A6744231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6" authorId="0" shapeId="0" xr:uid="{AD10655A-8BEB-4843-9223-9A6B39B539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6" authorId="0" shapeId="0" xr:uid="{E29ACD20-6C4F-4D6E-80B5-204295AAD4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6" authorId="0" shapeId="0" xr:uid="{D5C23595-E42F-49C2-AE5A-1B4FF0166A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6" authorId="0" shapeId="0" xr:uid="{18D33668-0542-4D33-BA9D-FDB0D1C106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6" authorId="0" shapeId="0" xr:uid="{4CB4C75A-13B4-45FF-ABE8-13C7E2ECF0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6" authorId="0" shapeId="0" xr:uid="{9239897A-B68C-4067-BD0C-6764A6F1A8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6" authorId="0" shapeId="0" xr:uid="{E74BB666-CF32-420B-82A9-5F4E7483E9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6" authorId="0" shapeId="0" xr:uid="{724697EA-A6E7-4C0E-B9B3-AB95A27C5D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6" authorId="0" shapeId="0" xr:uid="{124FD74B-B0BF-45CD-BB4A-2D97FF48E9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6" authorId="0" shapeId="0" xr:uid="{E8C6D14C-0392-4161-B956-E067FBA444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7" authorId="0" shapeId="0" xr:uid="{53E0B5F4-2934-4DED-855F-9E61BE60C3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7" authorId="0" shapeId="0" xr:uid="{F9036870-ED4B-489B-811C-8CD3E0C62A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7" authorId="0" shapeId="0" xr:uid="{64ACAD3E-C94F-4DBE-9042-0C3E596088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7" authorId="0" shapeId="0" xr:uid="{1A6FC4B8-A426-46C4-A9C1-5D49019DE6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7" authorId="0" shapeId="0" xr:uid="{E2760038-A233-475D-8C8D-BEDB58F554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7" authorId="0" shapeId="0" xr:uid="{EFA3295B-C5CD-4437-9239-7049F8024C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7" authorId="0" shapeId="0" xr:uid="{488597DB-593F-4E87-97D1-31FE67182D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7" authorId="0" shapeId="0" xr:uid="{1C0F3EF2-CFF0-44B0-92E5-80F889D776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7" authorId="0" shapeId="0" xr:uid="{443E6F87-F0CF-4DBB-8E5C-9247E53DE5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7" authorId="0" shapeId="0" xr:uid="{CAA071E6-C9BA-4060-A440-8B72C7E5FA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7" authorId="0" shapeId="0" xr:uid="{7D930607-52F0-4F10-8FD6-C6AD022DFED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8" authorId="0" shapeId="0" xr:uid="{5A1003A3-9618-418D-8D1F-A5D0B95566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8" authorId="0" shapeId="0" xr:uid="{A5A776D2-9E43-4D78-A126-20DEE698AA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8" authorId="0" shapeId="0" xr:uid="{32949BB5-4A8D-44EF-B664-C13775299F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8" authorId="0" shapeId="0" xr:uid="{F41E0816-7669-46D0-B9B6-F65328530F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8" authorId="0" shapeId="0" xr:uid="{FB5494B4-CA5E-4C65-B6ED-0796DFEC08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8" authorId="0" shapeId="0" xr:uid="{3740AAF6-B75E-4550-8174-F4978B1DD8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8" authorId="0" shapeId="0" xr:uid="{2083D5D7-3626-4E80-89EF-AB0F61A2BB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8" authorId="0" shapeId="0" xr:uid="{58F9D0CE-2A27-4737-89A9-ECF74885AF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8" authorId="0" shapeId="0" xr:uid="{B9CA7F15-3040-4DD9-A513-D44AB5636C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8" authorId="0" shapeId="0" xr:uid="{4434E48A-957F-487C-8E1B-D0C1CB3CCF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8" authorId="0" shapeId="0" xr:uid="{D0E9F4D8-6A90-4B79-BD6B-EB47BB6A641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9" authorId="0" shapeId="0" xr:uid="{7FE2D459-9D24-4EF5-876C-6981B8004B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9" authorId="0" shapeId="0" xr:uid="{316341B2-45A2-4D45-B0BA-3B89357E52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9" authorId="0" shapeId="0" xr:uid="{DFC4A2E2-86D6-411A-9C09-30F82169E7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9" authorId="0" shapeId="0" xr:uid="{87C387C4-2950-4FD3-8366-4483C6C52B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9" authorId="0" shapeId="0" xr:uid="{82A24E7B-ADF4-409E-9C1D-1796606E46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9" authorId="0" shapeId="0" xr:uid="{3E0E6137-B6E2-4AB5-B277-65D5E2B93C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9" authorId="0" shapeId="0" xr:uid="{6D262702-68B8-439F-8925-950CA50249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9" authorId="0" shapeId="0" xr:uid="{A4378CC3-5655-4429-8E39-98CEDA3D74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9" authorId="0" shapeId="0" xr:uid="{012DB496-7DDB-4B25-A246-394B110173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9" authorId="0" shapeId="0" xr:uid="{02C649F3-A12D-4CB0-B8A3-A992276A0F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9" authorId="0" shapeId="0" xr:uid="{1723E342-81DC-4195-89AB-870B80E8F22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0" authorId="0" shapeId="0" xr:uid="{D52C3118-2956-44E6-937A-1329795AF4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0" authorId="0" shapeId="0" xr:uid="{6A58DE09-373C-4045-989B-7F025037E7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0" authorId="0" shapeId="0" xr:uid="{27183D02-1C25-47A1-BDB9-75F35A3E10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0" authorId="0" shapeId="0" xr:uid="{65D38E94-2E21-41C4-AA15-958B4549F0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0" authorId="0" shapeId="0" xr:uid="{2FCCEEB2-68DD-45D3-9A6E-E1D788FFBD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0" authorId="0" shapeId="0" xr:uid="{142368E2-C0C7-4C11-9309-AADB3D64F0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0" authorId="0" shapeId="0" xr:uid="{867BB315-6C7D-47B1-B61C-E6C624CCEB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0" authorId="0" shapeId="0" xr:uid="{A21C7962-17D9-4F22-8759-F3E9172EA6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0" authorId="0" shapeId="0" xr:uid="{46BB0A42-89F9-45C8-8CA9-36A9D1993E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0" authorId="0" shapeId="0" xr:uid="{B3FB1BBF-2C5E-476E-A5CC-AF33D60A45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0" authorId="0" shapeId="0" xr:uid="{B79D0B99-4846-472A-AD59-2009BCC00F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1" authorId="0" shapeId="0" xr:uid="{A58CE9D8-6E1C-44D9-89FC-A02AD8053F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1" authorId="0" shapeId="0" xr:uid="{BF6AF0C5-6B42-471B-853C-891EA53321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1" authorId="0" shapeId="0" xr:uid="{523BB396-8DFA-40CD-8533-0B58875910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1" authorId="0" shapeId="0" xr:uid="{56ABEF19-9107-487A-85C4-755C33AA1B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1" authorId="0" shapeId="0" xr:uid="{C3D47628-B52A-483F-B9BE-F626141661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1" authorId="0" shapeId="0" xr:uid="{5316D087-6FAE-4A9D-A224-E2B5BCE129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1" authorId="0" shapeId="0" xr:uid="{BB12EAEE-19C7-4CCE-A777-9E7DC6A10E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1" authorId="0" shapeId="0" xr:uid="{38D90CB7-FF7C-4505-981B-4B379A8E4D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1" authorId="0" shapeId="0" xr:uid="{C12EF9A0-B157-40C0-B636-3975530E9A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1" authorId="0" shapeId="0" xr:uid="{CE0FFA7B-8D6A-4A02-B9F9-C6522E65F4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1" authorId="0" shapeId="0" xr:uid="{64953D65-77EA-4A49-93C9-F3F7C75E9B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2" authorId="0" shapeId="0" xr:uid="{A50108BB-FCE7-41B0-AB28-4C564B0E65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2" authorId="0" shapeId="0" xr:uid="{FAEF5E0C-A21A-4145-822C-E31A0594B3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2" authorId="0" shapeId="0" xr:uid="{36339390-027A-4AED-95AA-826933B29E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2" authorId="0" shapeId="0" xr:uid="{583EF926-1FB3-4BA7-9104-24D5BFF74B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2" authorId="0" shapeId="0" xr:uid="{99522566-0D8F-4703-9664-ACD3217C1A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2" authorId="0" shapeId="0" xr:uid="{2B2AD488-55EC-4D97-AB67-74F1E248B0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2" authorId="0" shapeId="0" xr:uid="{8FAA76F7-B2BE-4A99-9370-328B7B9F7C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2" authorId="0" shapeId="0" xr:uid="{D122BE83-AFF3-4907-B807-94C49BE076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2" authorId="0" shapeId="0" xr:uid="{548BE738-D9DE-42D2-BCD6-56C5512365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2" authorId="0" shapeId="0" xr:uid="{77C6F207-FE57-4B94-B480-C2616F7D53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2" authorId="0" shapeId="0" xr:uid="{E91A6335-E738-453B-9164-95806B39665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3" authorId="0" shapeId="0" xr:uid="{C9E4E824-1D97-4E49-9B2B-AE3421FCCA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3" authorId="0" shapeId="0" xr:uid="{B709612F-FBF5-4E10-88DD-E7A47A6585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3" authorId="0" shapeId="0" xr:uid="{9A9130B8-B04B-463C-A27E-7ECEBFF439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3" authorId="0" shapeId="0" xr:uid="{BF908295-E982-4E04-AA38-48E194BF8C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3" authorId="0" shapeId="0" xr:uid="{585F26EA-63E6-42AE-A0DE-58483C7405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3" authorId="0" shapeId="0" xr:uid="{7E5FAA0B-57D7-4EE8-A6E3-BB0AEE8BFE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3" authorId="0" shapeId="0" xr:uid="{A4906BA7-FD64-494E-9663-69145D9432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3" authorId="0" shapeId="0" xr:uid="{8AAE578E-C94F-4C05-BDF5-ED9EA4A6E9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3" authorId="0" shapeId="0" xr:uid="{570B289E-C408-4BE4-953E-F4E1C70812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3" authorId="0" shapeId="0" xr:uid="{A0E2D671-C371-40FF-A170-E2CB2A21A4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3" authorId="0" shapeId="0" xr:uid="{9404FC3C-59E5-4477-8589-3697329259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4" authorId="0" shapeId="0" xr:uid="{30687930-CF51-46DF-8E36-DCB85E4A10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4" authorId="0" shapeId="0" xr:uid="{F6981CB1-3170-451E-8715-D9FBFF084D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4" authorId="0" shapeId="0" xr:uid="{6C7214C3-7FF7-4673-9659-DBCFD79CAD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4" authorId="0" shapeId="0" xr:uid="{33CBA3FB-0C0F-4A9A-9FBB-4BD39A8DA8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4" authorId="0" shapeId="0" xr:uid="{68822DC5-C7CD-4DD0-BC59-A8F299C8A7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4" authorId="0" shapeId="0" xr:uid="{7569CE6F-EA83-468D-9F73-E618AF027C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4" authorId="0" shapeId="0" xr:uid="{5D742CFD-3AC5-4D58-BCB4-004FFEFB69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4" authorId="0" shapeId="0" xr:uid="{684B3C70-97D4-4E44-B8AC-5CAEC8D039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4" authorId="0" shapeId="0" xr:uid="{D7F958CB-2686-49C2-A828-F29361BAFD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4" authorId="0" shapeId="0" xr:uid="{9235F05C-D79B-4977-983B-0DAF430AE41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4" authorId="0" shapeId="0" xr:uid="{2595E3B6-C0F3-4346-85EF-BD5ED997FB3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5" authorId="0" shapeId="0" xr:uid="{E58C19AA-3F62-4CAF-A14A-747ED5EB03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5" authorId="0" shapeId="0" xr:uid="{F8AC6DDE-4AAE-4AD7-90EE-A617BA3423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5" authorId="0" shapeId="0" xr:uid="{3A71ABF6-C100-4EBD-BD49-59E2DD67D4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5" authorId="0" shapeId="0" xr:uid="{AB0D4D11-DCE9-47D0-A70A-22E37FFBC7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5" authorId="0" shapeId="0" xr:uid="{11FE1AF9-395D-435B-9893-4A7AE42B05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5" authorId="0" shapeId="0" xr:uid="{5C156C54-E49D-4935-8E30-C5CB21397C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5" authorId="0" shapeId="0" xr:uid="{10F76257-48BC-4ABE-84E8-AFE4B358E5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5" authorId="0" shapeId="0" xr:uid="{371BA677-0A6A-439E-83DB-F87C244C56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5" authorId="0" shapeId="0" xr:uid="{1E4902BD-C18A-4776-A12A-0F82DE0DDD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5" authorId="0" shapeId="0" xr:uid="{AE6EBE9E-D181-4A62-A772-00B2B33DFE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5" authorId="0" shapeId="0" xr:uid="{83CA8E7C-4EBC-4E5A-BCE9-301EC624E9B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6" authorId="0" shapeId="0" xr:uid="{07422D2F-CA5D-4842-B22F-A082E1F4B5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6" authorId="0" shapeId="0" xr:uid="{EED4BAC3-73C6-4D84-9A8B-980EB997EF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6" authorId="0" shapeId="0" xr:uid="{C3D9AE9C-EFFD-47DA-9FB9-517D2A489F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6" authorId="0" shapeId="0" xr:uid="{088E668E-ED39-48F7-951B-ED86063338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6" authorId="0" shapeId="0" xr:uid="{2F4A1B8B-0460-4FF5-8538-866F14656B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6" authorId="0" shapeId="0" xr:uid="{685ED3D6-1BA2-4E1D-B639-250A7E6779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6" authorId="0" shapeId="0" xr:uid="{F867ACD3-A681-4A99-A755-B5833D9273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6" authorId="0" shapeId="0" xr:uid="{E8CD926C-67DF-4493-BDD5-491A8FEA9D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6" authorId="0" shapeId="0" xr:uid="{8C6F2290-79F7-4ABC-8269-E2C367E60B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6" authorId="0" shapeId="0" xr:uid="{041AEBE0-7210-4516-A35B-CF1EE13379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6" authorId="0" shapeId="0" xr:uid="{28D8A513-68DB-4559-BA64-4FB3CF2D7DA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7" authorId="0" shapeId="0" xr:uid="{4B4D5072-7842-471B-91B5-F1BB8802D0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7" authorId="0" shapeId="0" xr:uid="{6C09861F-1561-42BE-B06F-F70C637A5D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7" authorId="0" shapeId="0" xr:uid="{BECD0011-11CD-4B5F-A14C-168DB3A6FC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7" authorId="0" shapeId="0" xr:uid="{22C63080-DF18-4C1F-971E-F1007E07D2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7" authorId="0" shapeId="0" xr:uid="{00EA51F1-72B8-441E-B1FB-FFBD9FCD47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7" authorId="0" shapeId="0" xr:uid="{D21ED51E-EF83-4406-98B5-F01A9A405A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7" authorId="0" shapeId="0" xr:uid="{6C0C908F-9CDA-49B7-9396-C3DDB21F52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7" authorId="0" shapeId="0" xr:uid="{1741BF25-6BD5-4773-891B-8DCF40268C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7" authorId="0" shapeId="0" xr:uid="{C8EB13C3-F368-4B41-BFE5-8E524EE379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7" authorId="0" shapeId="0" xr:uid="{FD90776F-09FC-47A9-821B-2EC8997E68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7" authorId="0" shapeId="0" xr:uid="{A3D40975-990B-4ABD-84F0-CEB9591100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8" authorId="0" shapeId="0" xr:uid="{A7F5E69A-ED9F-47F9-9D8F-645234B153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8" authorId="0" shapeId="0" xr:uid="{E8E7BAC0-6A2F-4F4E-82EB-E6675A14AA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8" authorId="0" shapeId="0" xr:uid="{5548E564-8323-4320-8643-2626F0B3F6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8" authorId="0" shapeId="0" xr:uid="{B25F6DAE-D922-42BC-A8DB-0720567844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8" authorId="0" shapeId="0" xr:uid="{AB845AD5-4965-48E1-A1FA-B2B0FA6791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8" authorId="0" shapeId="0" xr:uid="{097C88B2-55DF-44BB-AAF0-187616C78C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8" authorId="0" shapeId="0" xr:uid="{024442D3-5D0C-462D-ABB0-4DC9B098F0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8" authorId="0" shapeId="0" xr:uid="{D667DC31-6DC4-485E-964D-144C0DA999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8" authorId="0" shapeId="0" xr:uid="{CBCDB6C9-74F6-4431-8502-62B98F90F3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8" authorId="0" shapeId="0" xr:uid="{C881BCE1-BD11-4C01-ABE4-245E589CBF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8" authorId="0" shapeId="0" xr:uid="{B3ED293C-2C74-4573-8FFE-AB0D49DE465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9" authorId="0" shapeId="0" xr:uid="{5BD1501B-65ED-4198-A671-FF089BBE47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9" authorId="0" shapeId="0" xr:uid="{A0CACBAC-62F9-4B80-AF59-05FAE03693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9" authorId="0" shapeId="0" xr:uid="{875B4A4F-E16D-4595-9AC1-CD92EFECE4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9" authorId="0" shapeId="0" xr:uid="{1C791779-5A17-4A38-870E-DD8C61AF52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9" authorId="0" shapeId="0" xr:uid="{E7F63087-74B7-4CD4-8243-5D00752E4C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9" authorId="0" shapeId="0" xr:uid="{56590483-4ECA-447F-B7E5-C8F1697FA1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9" authorId="0" shapeId="0" xr:uid="{5128C251-EA62-4D62-957F-D978844366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9" authorId="0" shapeId="0" xr:uid="{197CB6CE-0889-4B0E-BEE5-DD024C6B91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9" authorId="0" shapeId="0" xr:uid="{4C9C09D9-C85D-4F5B-A5F4-4AABF00ACF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9" authorId="0" shapeId="0" xr:uid="{098DDA0F-E302-47AC-BC2C-2366E4A920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9" authorId="0" shapeId="0" xr:uid="{C88C5F11-142C-4334-A061-FA812D7D3A5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0" authorId="0" shapeId="0" xr:uid="{A5AB9631-88A9-4572-84E1-A7477820C1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0" authorId="0" shapeId="0" xr:uid="{C39F862A-95E2-4B15-A1BA-542C9A417C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0" authorId="0" shapeId="0" xr:uid="{C5013C40-33FD-429B-BBFD-0BD4D0C5C5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0" authorId="0" shapeId="0" xr:uid="{418ED8FC-83CA-4B81-BA3B-39805202B4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0" authorId="0" shapeId="0" xr:uid="{03C19D52-949A-4626-8E65-C24B3BB804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0" authorId="0" shapeId="0" xr:uid="{1091C02B-C482-416D-AF7B-D7B369A2AD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0" authorId="0" shapeId="0" xr:uid="{0273B2C3-6797-4735-8E1F-6B66762F53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0" authorId="0" shapeId="0" xr:uid="{14BE5B01-6EE6-492A-80A0-E686002D44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0" authorId="0" shapeId="0" xr:uid="{CEC99E11-94C2-4B6F-B720-8E0DDF0A4C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0" authorId="0" shapeId="0" xr:uid="{843A90A9-84D6-413C-9631-1A20E2B0A5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70" authorId="0" shapeId="0" xr:uid="{D9BB09F7-23E1-4E38-BB49-04C544D586A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1" authorId="0" shapeId="0" xr:uid="{DAFCFC4F-EF27-4CA2-8250-78D9B5A2FD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1" authorId="0" shapeId="0" xr:uid="{BA02BF81-9013-4B5F-A448-7B1A5BF0BC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1" authorId="0" shapeId="0" xr:uid="{4526800F-4BCE-4BA0-A55C-BDE3E86491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1" authorId="0" shapeId="0" xr:uid="{C07414B1-EBFD-426A-9F78-B70D5632A8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1" authorId="0" shapeId="0" xr:uid="{36AA708D-3045-4A42-AC1A-38AB6108B8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1" authorId="0" shapeId="0" xr:uid="{69E0DB68-14CA-48BD-A63F-216352B770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1" authorId="0" shapeId="0" xr:uid="{831483B0-E978-49A3-9C78-B2909AC40F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1" authorId="0" shapeId="0" xr:uid="{3CDF7CDD-B39A-4D8E-950D-2B4BD63A69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1" authorId="0" shapeId="0" xr:uid="{39CC976D-291B-4490-A715-FF1B9D9442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1" authorId="0" shapeId="0" xr:uid="{45C6F16C-5C02-45D1-916E-C9E5F39D07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71" authorId="0" shapeId="0" xr:uid="{902C2FB9-9606-4630-A689-A333460F18A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4" authorId="0" shapeId="0" xr:uid="{02BE4CBE-A61F-4501-BFA9-67E9CAD469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4" authorId="0" shapeId="0" xr:uid="{09ECB839-55E1-4937-8E49-2135D2C4F1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4" authorId="0" shapeId="0" xr:uid="{0B4D9BBB-24F4-4101-9F7C-FCBB3C84CE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4" authorId="0" shapeId="0" xr:uid="{C489BC6E-1FA1-4B45-AAA1-E1F630C39E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4" authorId="0" shapeId="0" xr:uid="{C1B082E9-D368-4CA6-800A-F6EB6D3FD7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4" authorId="0" shapeId="0" xr:uid="{D10B15E6-B444-417A-8B09-090E4AFAAD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4" authorId="0" shapeId="0" xr:uid="{343DF896-2888-4C20-ADCC-7A495903B5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4" authorId="0" shapeId="0" xr:uid="{514A2C35-C230-4288-B55A-DFF71C3AD5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4" authorId="0" shapeId="0" xr:uid="{DA29D6E7-05ED-4BD3-B942-D9CB788AB0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4" authorId="0" shapeId="0" xr:uid="{4878EDF2-D81B-4C50-A358-67879E7C77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74" authorId="0" shapeId="0" xr:uid="{6AE7D780-3D12-4832-8F95-0FDB6E224DA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5" authorId="0" shapeId="0" xr:uid="{7D2E4170-8D52-450A-8260-3FB790739F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5" authorId="0" shapeId="0" xr:uid="{E57E03BB-1A8C-4256-9E7E-53A0D95804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5" authorId="0" shapeId="0" xr:uid="{475E37C4-A034-4FD4-B635-1D3339159F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5" authorId="0" shapeId="0" xr:uid="{7D3DA714-E958-41E6-9A31-E898DDAC89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5" authorId="0" shapeId="0" xr:uid="{E176BB03-31AD-46CF-9BDE-D6AF752523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5" authorId="0" shapeId="0" xr:uid="{01900CD3-E409-4619-9BE6-C8D9C63DE9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5" authorId="0" shapeId="0" xr:uid="{9D734A97-570F-4403-9347-11A36D2387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5" authorId="0" shapeId="0" xr:uid="{F97BA158-07E1-44DA-AEB2-3175E5DCA0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5" authorId="0" shapeId="0" xr:uid="{27D088F5-5E53-4AF5-AA7C-08308EECC7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5" authorId="0" shapeId="0" xr:uid="{5F17AB98-7178-47E3-9827-EC93BF4D63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75" authorId="0" shapeId="0" xr:uid="{F69C838D-8EA9-496E-935E-DE8F2E9902E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6" authorId="0" shapeId="0" xr:uid="{0DFBB678-546A-44B4-961B-D3E7196462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6" authorId="0" shapeId="0" xr:uid="{0FCB89CD-D195-426A-9710-DDA38725C7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6" authorId="0" shapeId="0" xr:uid="{4A01A0AF-8A58-44E7-A357-3B2209883D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6" authorId="0" shapeId="0" xr:uid="{E83BB36C-7141-443C-8741-052E545367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6" authorId="0" shapeId="0" xr:uid="{D11A032B-9734-4884-9FE8-C8C48F5979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6" authorId="0" shapeId="0" xr:uid="{9C729194-2ADB-4E0E-8A5F-A8C3724FB6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6" authorId="0" shapeId="0" xr:uid="{341C8A50-060D-42F6-A668-3D65D5F8A3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6" authorId="0" shapeId="0" xr:uid="{EC71ED6F-1BDB-4B73-91C5-4767652823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6" authorId="0" shapeId="0" xr:uid="{9E8A12B1-5019-4A00-B178-DFD8A0D76B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6" authorId="0" shapeId="0" xr:uid="{D3B26D9A-908C-452A-9801-91ADB57932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76" authorId="0" shapeId="0" xr:uid="{B4BC2B89-C351-49A3-98FB-1BA6A27BF0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7" authorId="0" shapeId="0" xr:uid="{B233173D-F4D1-48C3-A6D7-FE14EB4708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7" authorId="0" shapeId="0" xr:uid="{C45E5F36-52E2-47DD-BB68-99B0CAC207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7" authorId="0" shapeId="0" xr:uid="{FAAEF55C-BF23-472D-A4C3-C9EF8512DD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7" authorId="0" shapeId="0" xr:uid="{A885E50F-8D76-4659-B88A-BB6F57EECA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7" authorId="0" shapeId="0" xr:uid="{10662FEF-4980-41D3-959E-1A1735E3DD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7" authorId="0" shapeId="0" xr:uid="{385789F1-28FD-4C27-92B3-F739B7B5BC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7" authorId="0" shapeId="0" xr:uid="{72360077-995E-44F2-85FD-0B88EC200C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7" authorId="0" shapeId="0" xr:uid="{A9AF9E64-0756-4565-979C-D0292C8F10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7" authorId="0" shapeId="0" xr:uid="{9EB4FA3F-C533-45FC-A4DC-CE538BE495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7" authorId="0" shapeId="0" xr:uid="{75D8F685-E68C-4313-9597-4D2F568F81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77" authorId="0" shapeId="0" xr:uid="{3746FEB6-D339-4576-9874-40CB7AF1557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8" authorId="0" shapeId="0" xr:uid="{5030E4A7-EF64-41DA-98EA-8C65E2776A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8" authorId="0" shapeId="0" xr:uid="{28069E3D-ADC4-499C-A5FD-0A0B76ED41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8" authorId="0" shapeId="0" xr:uid="{590BBDF7-2146-48DA-B6B1-C49410B291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8" authorId="0" shapeId="0" xr:uid="{D0656631-B9C2-42B9-962E-6BFD4207CD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8" authorId="0" shapeId="0" xr:uid="{E554DC2A-5F4D-4927-86B0-D9934ADE48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8" authorId="0" shapeId="0" xr:uid="{80A4BF36-2D74-4AB5-B5B4-A426BF29C0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8" authorId="0" shapeId="0" xr:uid="{D402E544-EB1F-42D4-BE4E-8B02833741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8" authorId="0" shapeId="0" xr:uid="{2CED497B-B712-44DE-8752-6D77F2B464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8" authorId="0" shapeId="0" xr:uid="{B86036FB-588A-4B51-974B-926C1485E3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8" authorId="0" shapeId="0" xr:uid="{DAE2AB5E-0E0D-4F78-957F-58CB9F40A5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78" authorId="0" shapeId="0" xr:uid="{7B1FF16E-096D-41F5-8CA9-B2176BB171C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9" authorId="0" shapeId="0" xr:uid="{DFDBB3C9-044A-4679-8008-3A21382903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9" authorId="0" shapeId="0" xr:uid="{F24F8151-ECD9-4506-BCF4-DED8C2ADCF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9" authorId="0" shapeId="0" xr:uid="{D7822FE9-1DDA-4498-9DF6-CD456FFEF0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9" authorId="0" shapeId="0" xr:uid="{FBF58C04-2790-42C0-AB0A-50D82E2552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9" authorId="0" shapeId="0" xr:uid="{FAA19DD6-170A-49C5-8697-DF4E842B01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9" authorId="0" shapeId="0" xr:uid="{4548E539-D339-4B8D-9FF5-92A9AE2F45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9" authorId="0" shapeId="0" xr:uid="{0BA99676-403D-41B4-92D9-02F7DCF605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9" authorId="0" shapeId="0" xr:uid="{673BC601-AA40-4742-B96D-E43F178F72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9" authorId="0" shapeId="0" xr:uid="{E08BB247-F47A-45BD-BBA9-D040CF5228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9" authorId="0" shapeId="0" xr:uid="{9CC06F20-FF8F-419B-8411-05F8BA2543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79" authorId="0" shapeId="0" xr:uid="{30309B42-46C7-48A8-A005-668346C8DB8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0" authorId="0" shapeId="0" xr:uid="{6AD09D9F-ADA1-44E0-B073-CD73182CE7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0" authorId="0" shapeId="0" xr:uid="{67B11206-E8BD-42AA-8CEF-DCF2117F8C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0" authorId="0" shapeId="0" xr:uid="{6884B051-6D0C-48C2-8E00-4ACDC86DC6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0" authorId="0" shapeId="0" xr:uid="{564171A3-011A-4C86-B465-81F5CBF1C2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0" authorId="0" shapeId="0" xr:uid="{886F77DE-C944-435B-AA24-F1CD24A0BD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0" authorId="0" shapeId="0" xr:uid="{DC15FFC4-DE76-47B5-91A5-521F74786A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0" authorId="0" shapeId="0" xr:uid="{FFEE8EFC-6892-468A-8B1E-F2DB623174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0" authorId="0" shapeId="0" xr:uid="{8C1EF0A8-8747-4DCE-AD08-D35E255910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0" authorId="0" shapeId="0" xr:uid="{D79A8512-B655-44F9-ACEE-6080B2461C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0" authorId="0" shapeId="0" xr:uid="{218D09D4-60EC-4B8D-A7FC-490CBB7410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0" authorId="0" shapeId="0" xr:uid="{BD719545-5492-4F3C-85B3-486ADF34D1E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1" authorId="0" shapeId="0" xr:uid="{1566FA69-FD04-428B-B969-15F3B4D415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1" authorId="0" shapeId="0" xr:uid="{6CF93FF7-2663-4372-AB90-B5EB90291D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1" authorId="0" shapeId="0" xr:uid="{3B218DB8-C19E-4E12-8F26-543B71663B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1" authorId="0" shapeId="0" xr:uid="{CEA87D98-D55E-4C38-8C72-C68C870767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1" authorId="0" shapeId="0" xr:uid="{38EE9C11-ED04-41CF-980E-C2C8ACCA4A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1" authorId="0" shapeId="0" xr:uid="{1918B585-BAD8-43D1-9014-82531C78D5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1" authorId="0" shapeId="0" xr:uid="{45ED0B17-03FC-4C51-9880-A94F7453A7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1" authorId="0" shapeId="0" xr:uid="{A921F2D7-F7FB-4205-A8BF-87933D86FD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1" authorId="0" shapeId="0" xr:uid="{199B0CC1-2B3F-4E01-90A3-A7DF9BD515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1" authorId="0" shapeId="0" xr:uid="{0E2135BB-083B-47A6-9CF1-59583D46EE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1" authorId="0" shapeId="0" xr:uid="{FF23020B-ECD8-415F-A5BE-9BB656513A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2" authorId="0" shapeId="0" xr:uid="{D472AD1F-9E61-4DA1-AE59-5B274FF84B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2" authorId="0" shapeId="0" xr:uid="{F41F24D6-1015-498E-8469-C655029694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2" authorId="0" shapeId="0" xr:uid="{E05E5CB6-E8B4-4328-87D2-3DF7BC0ECC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2" authorId="0" shapeId="0" xr:uid="{A3F08ADC-3447-4A42-813F-4B02515EEB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2" authorId="0" shapeId="0" xr:uid="{2DCC8121-2CE5-4643-9D81-2ECD8F1840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2" authorId="0" shapeId="0" xr:uid="{F85CD9BD-704B-4BED-B405-2201FDDC1F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2" authorId="0" shapeId="0" xr:uid="{4E8D4E7C-4005-4F9D-9E74-E2FAD12F62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2" authorId="0" shapeId="0" xr:uid="{1C93EE54-974B-44D7-87BA-E52D94F726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2" authorId="0" shapeId="0" xr:uid="{4A3AAC20-B422-4C59-B0FB-683FB40A8A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2" authorId="0" shapeId="0" xr:uid="{415986BC-B67A-4C21-9F1E-3339CA253C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2" authorId="0" shapeId="0" xr:uid="{2617949C-B4A1-4885-8D1B-FD15083F019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3" authorId="0" shapeId="0" xr:uid="{7F4BC899-B551-4F93-AF32-1D298A2EC4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3" authorId="0" shapeId="0" xr:uid="{8A2F40C4-92CE-45A2-ABF6-336A6CA5F5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3" authorId="0" shapeId="0" xr:uid="{BA53D290-ADCC-4E9F-B77C-236F2B6DFF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3" authorId="0" shapeId="0" xr:uid="{80ED221F-12F0-4989-857A-0631FE42B11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3" authorId="0" shapeId="0" xr:uid="{0F6B1362-DDA1-41BF-935E-CE0628568B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3" authorId="0" shapeId="0" xr:uid="{4F4C06DE-25E8-4C57-9AE0-D1DA2F9900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3" authorId="0" shapeId="0" xr:uid="{7708BD15-5F43-4110-8133-4C38CD1B88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3" authorId="0" shapeId="0" xr:uid="{556EF9DB-7820-4E25-A4C1-9CECEFB21A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3" authorId="0" shapeId="0" xr:uid="{04DBBB1A-ED7A-40DA-A5D9-7DA41C2166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3" authorId="0" shapeId="0" xr:uid="{BBB405F4-DF36-43E3-AFD2-47A0BFECA7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3" authorId="0" shapeId="0" xr:uid="{0C60BCB9-3A10-4960-ABD2-44FA4A24D13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4" authorId="0" shapeId="0" xr:uid="{0E404D41-514E-44C4-81DA-C1FFFDBC6F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4" authorId="0" shapeId="0" xr:uid="{EC8F6131-3788-46E4-B977-6F49BA95B4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4" authorId="0" shapeId="0" xr:uid="{C3FFE1C5-837A-4DA8-A467-5E70891CCA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4" authorId="0" shapeId="0" xr:uid="{1E79731F-9484-42C9-88A4-A79CFA604F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4" authorId="0" shapeId="0" xr:uid="{FB697FD2-3027-4553-98B7-1E19BB0073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4" authorId="0" shapeId="0" xr:uid="{4977E378-6ACA-4516-9B71-23EF188FB7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4" authorId="0" shapeId="0" xr:uid="{B249FDD1-A3C7-4FAE-B3BE-0EEF6835FD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4" authorId="0" shapeId="0" xr:uid="{55EBE564-E085-4877-96BF-99B3316B1B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4" authorId="0" shapeId="0" xr:uid="{27A47FCE-3693-4F02-9848-4E1D49F365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4" authorId="0" shapeId="0" xr:uid="{F6C524CC-958B-4BBB-A07F-9297D97C94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4" authorId="0" shapeId="0" xr:uid="{2358B21F-136E-45CB-A04B-169D6846554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5" authorId="0" shapeId="0" xr:uid="{BBDF3977-EF10-4232-BEB9-A8E654C8DB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5" authorId="0" shapeId="0" xr:uid="{491BBBFC-DF35-46B5-B97D-CBB48F241B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5" authorId="0" shapeId="0" xr:uid="{97BC165C-6BE8-479B-B148-1ADFEFCC9A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5" authorId="0" shapeId="0" xr:uid="{968B1D5D-C86E-4DBE-9E5B-CBE63BB3D0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5" authorId="0" shapeId="0" xr:uid="{868E3E1C-CE5E-414E-B9B2-43586B4539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5" authorId="0" shapeId="0" xr:uid="{F9B13625-82A8-4DC7-9292-FF2ED7509E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5" authorId="0" shapeId="0" xr:uid="{198A47F1-D7B4-42DA-B818-4C0B2B1465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5" authorId="0" shapeId="0" xr:uid="{51406B90-9ED7-4FA3-83C6-F414B5F0B7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5" authorId="0" shapeId="0" xr:uid="{F5D4F627-BB4B-4E6B-AEB6-1955514052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5" authorId="0" shapeId="0" xr:uid="{948C1611-BD82-4CF3-85FE-7EFC9BB0A8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5" authorId="0" shapeId="0" xr:uid="{C51E4E3E-62F4-4CD1-B948-ACEEA3BD452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6" authorId="0" shapeId="0" xr:uid="{84C82502-FB80-46B0-8649-2E38D1893E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6" authorId="0" shapeId="0" xr:uid="{2C5C2DB0-DDE3-4ADD-AF8D-87AF16CF86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6" authorId="0" shapeId="0" xr:uid="{6B653024-9000-4918-B0A8-3B16D5CD8A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6" authorId="0" shapeId="0" xr:uid="{6B7D3AC1-9D81-4CA6-90DF-09B3216E21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6" authorId="0" shapeId="0" xr:uid="{B640F6E6-BB88-4A88-B0D1-6229FBAC21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6" authorId="0" shapeId="0" xr:uid="{3FB24923-EBCE-4096-8488-225BBB4734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6" authorId="0" shapeId="0" xr:uid="{6C6BDE11-B34F-4A32-887D-7FD87984F4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6" authorId="0" shapeId="0" xr:uid="{93D3A3A9-7AD4-449B-8FB4-8101D1C243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6" authorId="0" shapeId="0" xr:uid="{D6397BDC-9559-40B9-A5FC-9D4860968C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6" authorId="0" shapeId="0" xr:uid="{85255303-7A69-4506-9F22-7E4DE2EC72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6" authorId="0" shapeId="0" xr:uid="{C5D0E1AC-EC98-4B3D-AB43-0BB5DC9A4E4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7" authorId="0" shapeId="0" xr:uid="{F1C36D9F-DF8C-40EC-9AB2-950CFA7141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7" authorId="0" shapeId="0" xr:uid="{297421B2-629C-4F94-8F70-E7AB0E982D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7" authorId="0" shapeId="0" xr:uid="{B37CAF47-63D3-4E0C-9848-34C86EF333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7" authorId="0" shapeId="0" xr:uid="{D205D2FA-9867-4009-A2CB-D5DB81CEEB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7" authorId="0" shapeId="0" xr:uid="{4F4EC1DD-7F5E-4D2E-8DFB-BE8F604FF3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7" authorId="0" shapeId="0" xr:uid="{3B82A51D-9591-49A2-9251-B5A1C9A41B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7" authorId="0" shapeId="0" xr:uid="{653763CF-0EEF-4EF4-BA6C-BAEF12FB97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7" authorId="0" shapeId="0" xr:uid="{CE33BAA7-07C7-4065-8260-595A273F71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7" authorId="0" shapeId="0" xr:uid="{E705D5B0-0D96-4764-B62B-7A2CCA4218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7" authorId="0" shapeId="0" xr:uid="{8FFD7BBB-1907-4101-95BA-E9BC9885A7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7" authorId="0" shapeId="0" xr:uid="{F5BF2850-69D2-4EE4-AD22-30EC58F1270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8" authorId="0" shapeId="0" xr:uid="{1D15B095-D7EF-4608-90FE-5297719B4E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8" authorId="0" shapeId="0" xr:uid="{001391E0-0B18-40A7-B148-DB36738006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8" authorId="0" shapeId="0" xr:uid="{D5E8896A-279C-4471-919A-E069E8070E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8" authorId="0" shapeId="0" xr:uid="{3ACE94DA-E670-471C-8084-FF0ED67153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8" authorId="0" shapeId="0" xr:uid="{87890079-29A1-4C81-96CA-9D2FA8F3BD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8" authorId="0" shapeId="0" xr:uid="{36A81960-C5C8-4246-997A-894967B7C0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8" authorId="0" shapeId="0" xr:uid="{F05A9751-876C-457A-BB23-D6A8AA63A7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8" authorId="0" shapeId="0" xr:uid="{C691DE6C-D931-4648-9291-3B01BEAA5D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8" authorId="0" shapeId="0" xr:uid="{3F6522E9-31B8-4DBF-AEBA-8FAD7701A5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8" authorId="0" shapeId="0" xr:uid="{DB471426-01E8-4CEA-8EA0-6D34CE1889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8" authorId="0" shapeId="0" xr:uid="{0866A9A0-9C4A-4EA2-8C3F-46F85CFFDA4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9" authorId="0" shapeId="0" xr:uid="{C51D5660-E13C-47D9-86E0-DBE8580009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9" authorId="0" shapeId="0" xr:uid="{451B417E-A8FB-4788-920F-AD2E8762BD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9" authorId="0" shapeId="0" xr:uid="{A0EF3395-5FBB-4DF1-A3B4-D36A2365AE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9" authorId="0" shapeId="0" xr:uid="{ACD2A309-5D89-47E2-AD86-AF1BC6AE85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9" authorId="0" shapeId="0" xr:uid="{BED8A0F0-7187-467C-ADA9-77A83D448F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9" authorId="0" shapeId="0" xr:uid="{74E7EE07-B39B-4683-AF29-6B33455AE0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9" authorId="0" shapeId="0" xr:uid="{93B2E93B-6B43-48A4-B9EB-00FDFF9221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9" authorId="0" shapeId="0" xr:uid="{236389CB-72E0-4FF6-AECF-5B1B1EB3C1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9" authorId="0" shapeId="0" xr:uid="{8409C018-A7D7-4763-A08A-AF6A96EC65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9" authorId="0" shapeId="0" xr:uid="{B8CD0E66-252D-41AF-9C7B-887BA0C044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9" authorId="0" shapeId="0" xr:uid="{F0873DB8-AA98-489B-9B0C-0E6BEE6907C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0" authorId="0" shapeId="0" xr:uid="{4D55CC22-4E58-4141-875C-948255501E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0" authorId="0" shapeId="0" xr:uid="{86F85651-9A43-49EA-89E1-A8272D5530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0" authorId="0" shapeId="0" xr:uid="{786DF058-2B4E-4456-B1B5-05C2139140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0" authorId="0" shapeId="0" xr:uid="{A294C325-C53A-4E40-B8EB-3E8F78A27B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0" authorId="0" shapeId="0" xr:uid="{3666C915-B784-4352-BEBE-7E8899D880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0" authorId="0" shapeId="0" xr:uid="{D0179846-6F94-41AA-9C9E-FF4E24DF20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0" authorId="0" shapeId="0" xr:uid="{C300D546-3557-48B1-944B-B6C7AAA78A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0" authorId="0" shapeId="0" xr:uid="{96497B5B-C968-4299-BAD2-6290B49C2E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0" authorId="0" shapeId="0" xr:uid="{EDFF7F83-B3D7-488D-AD2C-46EE5BC64F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0" authorId="0" shapeId="0" xr:uid="{40D9C9A6-5576-4A63-938B-AEEEE4C3CC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90" authorId="0" shapeId="0" xr:uid="{274922EB-EC98-46E9-A556-679A6C181C3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1" authorId="0" shapeId="0" xr:uid="{49F33D81-D023-4FF6-8F62-B6D6F1DAC1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1" authorId="0" shapeId="0" xr:uid="{C0C1DC61-0723-4AC4-8AF4-583B939B87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1" authorId="0" shapeId="0" xr:uid="{E91B7197-6056-41B3-9850-DB780DAA42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1" authorId="0" shapeId="0" xr:uid="{E000A8B4-4BA0-49DD-8028-395DE54436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1" authorId="0" shapeId="0" xr:uid="{A6E3F111-D343-49A8-AB29-F25711A948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1" authorId="0" shapeId="0" xr:uid="{29658DF7-1819-42BF-A0A0-ADC4D57449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1" authorId="0" shapeId="0" xr:uid="{B1BF9369-1B71-4E14-AE9F-D9372B9489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1" authorId="0" shapeId="0" xr:uid="{9C4E36D9-D2FF-4245-B93F-B76FD84F27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1" authorId="0" shapeId="0" xr:uid="{E4834090-60CF-4392-AD03-37DE2B4139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1" authorId="0" shapeId="0" xr:uid="{68A99C71-B53D-4837-B870-A4CCFE83A8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91" authorId="0" shapeId="0" xr:uid="{42CD2B3E-4524-4C55-926A-1BDD42F922C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2" authorId="0" shapeId="0" xr:uid="{AF3B3CEC-7A1F-4FEE-8965-320E3E1A3E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2" authorId="0" shapeId="0" xr:uid="{76E2EF20-300C-4C33-A45C-0F0BD7C28F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2" authorId="0" shapeId="0" xr:uid="{5147D722-1C23-4415-A5FE-ECAC4D5C60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2" authorId="0" shapeId="0" xr:uid="{3C068326-C4B4-4AD9-8D8E-16A62B9907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2" authorId="0" shapeId="0" xr:uid="{0C1464D6-4E5D-4C4A-A6D3-AC1E33C4A2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2" authorId="0" shapeId="0" xr:uid="{7C08CFB0-1776-46E7-AD8D-A8FB8780F3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2" authorId="0" shapeId="0" xr:uid="{D20C72EB-D200-40F2-BF2B-A3E36439BE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2" authorId="0" shapeId="0" xr:uid="{8092BF8F-AFB0-49B0-A392-39DFCB9571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2" authorId="0" shapeId="0" xr:uid="{485C4BD9-72B3-4292-B1E3-F26F92ED5D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2" authorId="0" shapeId="0" xr:uid="{AAAB3786-B63E-4575-93BC-8F2661894E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92" authorId="0" shapeId="0" xr:uid="{514B6177-B48B-46CD-B6FF-EF5524CBA12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3" authorId="0" shapeId="0" xr:uid="{0C867DA4-5129-4C59-B22C-8A22566052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3" authorId="0" shapeId="0" xr:uid="{A3509BF1-5F15-4699-AEDA-3BF5893D1C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3" authorId="0" shapeId="0" xr:uid="{49BFE087-D7C8-4774-B10C-BAA7F4844E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3" authorId="0" shapeId="0" xr:uid="{8DD29985-EF2E-4857-AC60-EF685513C4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3" authorId="0" shapeId="0" xr:uid="{49A4DCB8-0461-48EE-B5DB-A469C8043F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3" authorId="0" shapeId="0" xr:uid="{7CE030AC-B106-4B83-ABF2-BE71A481F9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3" authorId="0" shapeId="0" xr:uid="{FD836605-4523-4614-930E-01FEC2B813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3" authorId="0" shapeId="0" xr:uid="{079186D4-A513-4ABD-88FA-B3DE6C759C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3" authorId="0" shapeId="0" xr:uid="{0957AF63-9324-4254-BE72-FCE5DA259A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3" authorId="0" shapeId="0" xr:uid="{C96CC0F9-25B3-4628-8B13-E8B5184CC8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93" authorId="0" shapeId="0" xr:uid="{E84CE324-DA16-446D-89B8-ADB589DC03E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4" authorId="0" shapeId="0" xr:uid="{CB884787-B4BF-4931-AAAF-2F79046F53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4" authorId="0" shapeId="0" xr:uid="{39EC8CA3-FAC6-452A-B7E1-5FA63625A0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4" authorId="0" shapeId="0" xr:uid="{F853D6E2-1E01-4F22-92D9-B15FF06A6D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4" authorId="0" shapeId="0" xr:uid="{6DAE74D7-D8E0-49A5-B3B1-8493AEAD3F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4" authorId="0" shapeId="0" xr:uid="{E8FA4C47-EBF7-4828-B563-67EF1C4DD5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4" authorId="0" shapeId="0" xr:uid="{B62E666E-EEC6-4CE2-ABF4-128AB4513D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4" authorId="0" shapeId="0" xr:uid="{7E602C3A-4E33-46BA-95C3-39A5539B0B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4" authorId="0" shapeId="0" xr:uid="{8A6B4F0D-13AD-4350-B1FA-8C5B8D0097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4" authorId="0" shapeId="0" xr:uid="{2BC6DD5D-0F70-4828-A603-FF93EBB551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4" authorId="0" shapeId="0" xr:uid="{504984B2-6946-425D-8936-9E449B0E91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94" authorId="0" shapeId="0" xr:uid="{8D365C4C-7C82-40F7-AE10-37BEC3AA00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7" authorId="0" shapeId="0" xr:uid="{E15F19AB-0E6E-4C54-9E07-7E458D07A4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7" authorId="0" shapeId="0" xr:uid="{4B265CFE-3939-421C-BEF2-5D6308C589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7" authorId="0" shapeId="0" xr:uid="{444CF02D-22A0-4130-877A-DAE355FB24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7" authorId="0" shapeId="0" xr:uid="{C1EAC168-B5F2-4FA3-8135-B30BAF7CD9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7" authorId="0" shapeId="0" xr:uid="{56A0B8DE-3798-4BD9-B8A9-420F61208B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7" authorId="0" shapeId="0" xr:uid="{622FAC00-EDE8-4360-904A-BAF7D8B51C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7" authorId="0" shapeId="0" xr:uid="{BDE3604A-CF9B-4D2C-A2AF-F682ED8960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7" authorId="0" shapeId="0" xr:uid="{521D10CD-8FD5-4C7C-A183-9F186AB9FB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7" authorId="0" shapeId="0" xr:uid="{3579A137-D590-4E5B-A09F-C3D538C9CC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7" authorId="0" shapeId="0" xr:uid="{5A28B9EE-333B-4963-A25F-773AE621CD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97" authorId="0" shapeId="0" xr:uid="{8E567818-50D2-4CED-9A2A-C6E8F61DC81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8" authorId="0" shapeId="0" xr:uid="{4A1E27F0-F7E2-47EE-871B-AA7E58FBB1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8" authorId="0" shapeId="0" xr:uid="{45857230-3EEA-4269-9B69-8B9438FBB4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8" authorId="0" shapeId="0" xr:uid="{68160B6E-28A9-4A2B-82F7-D8EA2B09AC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8" authorId="0" shapeId="0" xr:uid="{AF7E7C83-A6B4-480D-906D-551936A92D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8" authorId="0" shapeId="0" xr:uid="{6CE6155C-E700-44BC-9E0C-454BFF3064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8" authorId="0" shapeId="0" xr:uid="{90AE7B30-C732-4BBC-A9A1-B5DB4C8BD9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8" authorId="0" shapeId="0" xr:uid="{F4232F7C-1A55-4DA3-BCE6-BFBB212ACD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8" authorId="0" shapeId="0" xr:uid="{55C41443-36C3-4518-8637-CC53BCFA62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8" authorId="0" shapeId="0" xr:uid="{81E0BE1C-89A3-4289-B310-9FC4DFB431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8" authorId="0" shapeId="0" xr:uid="{B6A7773F-9E58-469A-BBAC-FC00C1BA04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98" authorId="0" shapeId="0" xr:uid="{0355C997-BC5C-41B5-B9E8-92A74C8A522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9" authorId="0" shapeId="0" xr:uid="{13680BCA-6088-45F3-808C-EE01ED19AD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9" authorId="0" shapeId="0" xr:uid="{93DF60CE-23C0-46F3-B9DA-8415BE0845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9" authorId="0" shapeId="0" xr:uid="{98F3E64B-4B4E-4713-B11B-54A6FF599C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9" authorId="0" shapeId="0" xr:uid="{9D9C5BC6-EC64-49F2-86F0-B2489644A4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9" authorId="0" shapeId="0" xr:uid="{D2A251B1-B521-4268-A152-76014232A9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9" authorId="0" shapeId="0" xr:uid="{0AB93D93-9302-47F1-894F-44BF2DE275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9" authorId="0" shapeId="0" xr:uid="{A41720B2-A7B1-4CF8-94EF-E8A82BC8CE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9" authorId="0" shapeId="0" xr:uid="{3D8F4FF5-0F60-4CC4-9D51-FB7D5519D8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9" authorId="0" shapeId="0" xr:uid="{4DCFECCD-672D-41B3-8913-409F394F53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9" authorId="0" shapeId="0" xr:uid="{A9DCFFE4-004F-4304-AC18-DCD97C659A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99" authorId="0" shapeId="0" xr:uid="{3E1E242B-1C19-4934-BA93-7FBC6F6DCA3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0" authorId="0" shapeId="0" xr:uid="{4A7D7281-B0D5-48B1-A1C0-B6B079983B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0" authorId="0" shapeId="0" xr:uid="{4FBBB513-4B20-421B-BFED-ECF5821F94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0" authorId="0" shapeId="0" xr:uid="{68D17D9E-6F06-4EBB-9930-D29CB5EC91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0" authorId="0" shapeId="0" xr:uid="{9AF2E03D-CA5A-49C5-9BEC-186C0D58A7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0" authorId="0" shapeId="0" xr:uid="{331C99FB-6584-4E4B-BF3D-F038D62599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0" authorId="0" shapeId="0" xr:uid="{EA393FBD-5248-4FB8-ACEE-982B7E38A6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0" authorId="0" shapeId="0" xr:uid="{9D3FBCA5-84F1-4F43-8FE6-27EC8809B6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0" authorId="0" shapeId="0" xr:uid="{A82DD3DC-ADD2-4BEF-9E42-8FE39AF9BE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0" authorId="0" shapeId="0" xr:uid="{F248F28A-0A5F-486A-99B4-9BC3506E53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0" authorId="0" shapeId="0" xr:uid="{B0633581-C419-4FAB-9B08-3FE0418B40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0" authorId="0" shapeId="0" xr:uid="{25668A97-9F8E-4414-A130-08654B911E7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1" authorId="0" shapeId="0" xr:uid="{DC679DC8-0CDB-45C3-B609-A59BF069B6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1" authorId="0" shapeId="0" xr:uid="{F1B2960B-226E-49F3-A70A-FE5FC614F1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1" authorId="0" shapeId="0" xr:uid="{8EF27B38-DA9D-4CAC-9EC8-3D3AC9D692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1" authorId="0" shapeId="0" xr:uid="{E460FCA0-00CB-4FE8-A350-4347044A61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1" authorId="0" shapeId="0" xr:uid="{59434976-19B2-4F1D-BEC9-758DA887A5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1" authorId="0" shapeId="0" xr:uid="{2CFC3A75-B5A9-452E-8D83-EFADC92A55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1" authorId="0" shapeId="0" xr:uid="{96056C72-90E8-46F7-9141-B2A7628E36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1" authorId="0" shapeId="0" xr:uid="{DDB151FF-DCD5-4390-93D4-77B32D44C3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1" authorId="0" shapeId="0" xr:uid="{6DE7E6E3-F94B-4739-B1D5-7213F8BE44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1" authorId="0" shapeId="0" xr:uid="{F7C692E5-2997-4870-891C-CC3EB91858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1" authorId="0" shapeId="0" xr:uid="{C723F118-380B-4221-AD2E-742FCAA4231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2" authorId="0" shapeId="0" xr:uid="{43CE2338-8419-41E9-B670-A70A2945FF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2" authorId="0" shapeId="0" xr:uid="{71E1293C-712E-4B5B-84F4-20351DBF4F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2" authorId="0" shapeId="0" xr:uid="{106B0E02-D22A-47EF-9C62-A01E3ECE02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2" authorId="0" shapeId="0" xr:uid="{4D5FE14D-1EE4-40A8-83F5-EE81FE436F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2" authorId="0" shapeId="0" xr:uid="{23C43B49-B4B5-443E-B4D2-6B4D0E0150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2" authorId="0" shapeId="0" xr:uid="{DACEDBD7-3FBF-475F-8CFC-F3430C9698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2" authorId="0" shapeId="0" xr:uid="{3A0DD3DE-CE51-4AA3-B75C-47597D0B72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2" authorId="0" shapeId="0" xr:uid="{F196984F-8E63-4CBC-9C22-7EF84D648E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2" authorId="0" shapeId="0" xr:uid="{4BE9B5CF-F355-4ECD-A2CC-0278861BA6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2" authorId="0" shapeId="0" xr:uid="{FF8D2B3D-4BB7-4B55-8E8C-F6967CA858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2" authorId="0" shapeId="0" xr:uid="{98191070-4BAA-4538-A04C-609BFCEBCE8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3" authorId="0" shapeId="0" xr:uid="{688E8FF6-D417-40DD-8E66-90A07AC301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3" authorId="0" shapeId="0" xr:uid="{29C93118-4BB3-4443-B991-8550B8D3BD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3" authorId="0" shapeId="0" xr:uid="{87B442E5-BCF2-476C-A386-30EC3BB396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3" authorId="0" shapeId="0" xr:uid="{2319404C-EBD9-4CE0-9CCF-9ABD214DAB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3" authorId="0" shapeId="0" xr:uid="{8189EA8C-53E2-4CD5-893D-81724A8AF4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3" authorId="0" shapeId="0" xr:uid="{72E654CC-A280-4477-A4A7-2977F63B72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3" authorId="0" shapeId="0" xr:uid="{74005FDB-175D-4861-8353-A2B7128C8F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3" authorId="0" shapeId="0" xr:uid="{90889A8D-07DF-4323-B657-AA4EDC2807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3" authorId="0" shapeId="0" xr:uid="{8F96B8CA-6C2C-41CD-80F9-F4900FE630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3" authorId="0" shapeId="0" xr:uid="{A9E76505-AB3B-4BF4-9073-85DC521C58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3" authorId="0" shapeId="0" xr:uid="{C7670179-1955-4465-A3BA-3C22226CF9C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4" authorId="0" shapeId="0" xr:uid="{E4334A77-F267-4C20-AF4E-D8EB249566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4" authorId="0" shapeId="0" xr:uid="{8C5DA78F-5CC6-4158-8713-06E84ABEF4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4" authorId="0" shapeId="0" xr:uid="{737B032B-BD3B-4DBA-918D-B3D13DC2F0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4" authorId="0" shapeId="0" xr:uid="{2A5C9CB5-A9F0-474B-BC49-2D1C44B2D3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4" authorId="0" shapeId="0" xr:uid="{63BFFE76-187A-4800-846B-91AEABF27B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4" authorId="0" shapeId="0" xr:uid="{55498DEE-9F88-45B7-A067-E74C8954F3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4" authorId="0" shapeId="0" xr:uid="{35857443-6F22-4B6C-BA3B-6E546EE388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4" authorId="0" shapeId="0" xr:uid="{E6C65775-42D4-460E-9898-2B791E0463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4" authorId="0" shapeId="0" xr:uid="{E7B39EE8-AE17-4DFC-82C3-88FD52D1D6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4" authorId="0" shapeId="0" xr:uid="{2182FD8B-7203-4BFC-B6E3-957B2F34E5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4" authorId="0" shapeId="0" xr:uid="{0F57896C-3B63-4F27-A8F2-43B743072AC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5" authorId="0" shapeId="0" xr:uid="{381C7979-DF61-48FD-85A4-AA6355F32B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5" authorId="0" shapeId="0" xr:uid="{786E11D8-758E-4D17-A1A0-E249EEAB44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5" authorId="0" shapeId="0" xr:uid="{2538DEF4-5638-4948-AF23-8D8497B23E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5" authorId="0" shapeId="0" xr:uid="{DC820EC6-7D96-4793-A1E2-27E43FF495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5" authorId="0" shapeId="0" xr:uid="{C14DA759-26A4-47F7-ADB5-3279428A58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5" authorId="0" shapeId="0" xr:uid="{C5159008-76F3-4562-87B8-8D128D5BCA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5" authorId="0" shapeId="0" xr:uid="{A24AF7CD-AFD2-4C04-BD54-CA0E57C34B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5" authorId="0" shapeId="0" xr:uid="{C8CE313E-C555-4AFE-B592-B97BB5D53A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5" authorId="0" shapeId="0" xr:uid="{8556BE3C-AB28-4B1E-A65E-1AE34BB9C7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5" authorId="0" shapeId="0" xr:uid="{4DD7D9E2-0875-4500-8C09-B43ABBC970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5" authorId="0" shapeId="0" xr:uid="{2BB555CE-C9CD-4FCF-9818-69B0009399D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6" authorId="0" shapeId="0" xr:uid="{C22AE56A-2173-4890-A53B-338AF35A7C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6" authorId="0" shapeId="0" xr:uid="{21A8D8F8-FACF-4F54-A360-F6B8075136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6" authorId="0" shapeId="0" xr:uid="{87E3CE59-ECC5-4D8C-BF69-1C370CB1AC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6" authorId="0" shapeId="0" xr:uid="{BB8A1F11-118D-49D9-9189-60AEB23D19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6" authorId="0" shapeId="0" xr:uid="{CBD83E40-C818-49F6-9F0F-04BCF77AC9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6" authorId="0" shapeId="0" xr:uid="{A1B2405D-4A5A-4A15-BAD8-B00FC207A2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6" authorId="0" shapeId="0" xr:uid="{A8DD8D5D-8F9D-47DA-90C6-937E5F3317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6" authorId="0" shapeId="0" xr:uid="{23961236-2CCE-4019-B3A0-B94D3FCB8B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6" authorId="0" shapeId="0" xr:uid="{F749E30F-DA27-45EA-A828-4C6441F790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6" authorId="0" shapeId="0" xr:uid="{32BFFDBD-FB2A-4A4E-9F35-10CA65C72B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6" authorId="0" shapeId="0" xr:uid="{BE996B09-987B-4755-A02E-2304AD5A143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7" authorId="0" shapeId="0" xr:uid="{37B1D630-AA7B-4715-A866-E34190BED0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7" authorId="0" shapeId="0" xr:uid="{47CDC881-145B-4E4A-A670-739CA52F6A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7" authorId="0" shapeId="0" xr:uid="{3D95C2BF-3D34-4DB1-BC11-887A83CCFB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7" authorId="0" shapeId="0" xr:uid="{8D5A06B2-F292-4D51-9485-4B3C252FAB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7" authorId="0" shapeId="0" xr:uid="{EC9B51AE-6819-4E21-B285-D8C975AF25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7" authorId="0" shapeId="0" xr:uid="{248D0D6A-E566-433A-A9ED-7435C27F07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7" authorId="0" shapeId="0" xr:uid="{77534ABB-7F50-4FE6-90B6-0A0D528CB7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7" authorId="0" shapeId="0" xr:uid="{52CF56F2-B5F2-4AE4-B44F-627A4CB369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7" authorId="0" shapeId="0" xr:uid="{A09421ED-78A9-498D-995E-AF7ADBED15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7" authorId="0" shapeId="0" xr:uid="{CF7D9019-5A97-4DEA-A47D-E7DF8820B2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7" authorId="0" shapeId="0" xr:uid="{FBA5657A-10C3-42A2-B5C7-B08CCB43D3A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8" authorId="0" shapeId="0" xr:uid="{B91CB756-8490-42CF-8E51-02DAB37B92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8" authorId="0" shapeId="0" xr:uid="{834BE3D7-E110-40A5-899D-741E111880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8" authorId="0" shapeId="0" xr:uid="{3A5FDAB1-E705-4703-AFB0-325ACD8CE4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8" authorId="0" shapeId="0" xr:uid="{05EB7369-FBF1-475B-927A-CD78F9A935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8" authorId="0" shapeId="0" xr:uid="{BD98D24D-114D-4CA6-9BA7-21F1FC95B3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8" authorId="0" shapeId="0" xr:uid="{178030F5-6434-49CF-8B9F-92FEBD60AE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8" authorId="0" shapeId="0" xr:uid="{40E17264-1989-4373-A660-DFD7C07134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8" authorId="0" shapeId="0" xr:uid="{81898FA9-F01E-4ABB-9F97-3D0D898A8F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8" authorId="0" shapeId="0" xr:uid="{8AA2E0F4-F33A-4855-87EB-92ED908315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8" authorId="0" shapeId="0" xr:uid="{E3FEAD8C-CA8D-4473-AD4C-8286342DC3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8" authorId="0" shapeId="0" xr:uid="{76214B4F-ABC8-41B0-9AEE-B2E1DFE98B8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9" authorId="0" shapeId="0" xr:uid="{E1AEF6C4-F15B-4AAC-91C8-81E6DE8793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9" authorId="0" shapeId="0" xr:uid="{D00C7175-FD48-4A8D-A3A9-9E65624E63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9" authorId="0" shapeId="0" xr:uid="{79AB7E78-D0AC-41D1-8C5C-DB185BD39E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9" authorId="0" shapeId="0" xr:uid="{BF6DBD79-763A-40A6-BC28-9595A6527A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9" authorId="0" shapeId="0" xr:uid="{9951D2D3-AB7B-4D3C-80EC-1212522B6E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9" authorId="0" shapeId="0" xr:uid="{DC109014-3A63-4F55-96B2-396F9DF6CF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9" authorId="0" shapeId="0" xr:uid="{71241E2C-641F-4E2B-8603-FB2364F061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9" authorId="0" shapeId="0" xr:uid="{67A1C760-21A7-4703-8827-00E7BCE055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9" authorId="0" shapeId="0" xr:uid="{BAE5C052-0C0F-4B7A-B710-809BE4080C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9" authorId="0" shapeId="0" xr:uid="{D6193330-E232-4AB8-B8BB-76D1156BF0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9" authorId="0" shapeId="0" xr:uid="{5B742340-E9A9-412D-B3F3-3E98E554765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0" authorId="0" shapeId="0" xr:uid="{CD8702F9-DED7-4C21-9B20-F0C5B66309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0" authorId="0" shapeId="0" xr:uid="{66F1A572-7A91-4AEE-9DEC-537872B682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0" authorId="0" shapeId="0" xr:uid="{7263F9DB-8DBF-448D-A8F3-372F7DE23A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0" authorId="0" shapeId="0" xr:uid="{2263A8EC-083C-49AC-9563-9DB5508396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0" authorId="0" shapeId="0" xr:uid="{0C7E3B71-5292-4DB7-9456-94F776B481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0" authorId="0" shapeId="0" xr:uid="{2A737E25-DC2F-4564-B430-715A806052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0" authorId="0" shapeId="0" xr:uid="{F0B9F268-F5B2-49CF-972B-C9171B6E0A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0" authorId="0" shapeId="0" xr:uid="{542871A9-B655-46DE-A29B-2718B37A09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0" authorId="0" shapeId="0" xr:uid="{78D08214-F249-49D0-A5CB-33AEC7AE60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0" authorId="0" shapeId="0" xr:uid="{C53373E4-866E-4EAC-9F06-D8172622E5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10" authorId="0" shapeId="0" xr:uid="{BB222EA3-078C-4001-A862-42CEF27E5D8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1" authorId="0" shapeId="0" xr:uid="{11F6B6A1-B5E5-42B7-B992-2C8B7B8961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1" authorId="0" shapeId="0" xr:uid="{E4722BA8-D667-41EF-B46D-9E9FA1EC85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1" authorId="0" shapeId="0" xr:uid="{D85208CA-C9EE-401B-B84D-06FBAA6DE3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1" authorId="0" shapeId="0" xr:uid="{F4C0CBD5-9A9D-43BF-9879-74947AF925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1" authorId="0" shapeId="0" xr:uid="{89FC35F8-8498-4DFE-B112-E1040FA6A8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1" authorId="0" shapeId="0" xr:uid="{4B82E4D0-AC91-4908-B7B6-368BB97A5B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1" authorId="0" shapeId="0" xr:uid="{037FA834-C677-4011-9E80-D0A2B6DA25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1" authorId="0" shapeId="0" xr:uid="{11B477FD-2765-49BA-A084-6B53693F0D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1" authorId="0" shapeId="0" xr:uid="{1ECB1706-D7BB-409D-BEB4-5304CFC808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1" authorId="0" shapeId="0" xr:uid="{FC2559E6-8188-4F0E-A3E5-993BE44F8B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11" authorId="0" shapeId="0" xr:uid="{8259188C-4E06-4F34-8218-1110AFF97FD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2" authorId="0" shapeId="0" xr:uid="{3C198B51-EABD-4EEE-ABE1-53A7E07351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2" authorId="0" shapeId="0" xr:uid="{6D4C0FB1-074B-4A41-B90C-696682897B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2" authorId="0" shapeId="0" xr:uid="{9637ADA1-985B-45AB-AE55-628C271C42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2" authorId="0" shapeId="0" xr:uid="{599D45C3-A9C9-497C-A5EB-465B0058F8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2" authorId="0" shapeId="0" xr:uid="{F5A3F5E3-2C23-44CA-B88D-386AAD7203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2" authorId="0" shapeId="0" xr:uid="{7BF0D883-4084-40CA-AB84-590602BBE4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2" authorId="0" shapeId="0" xr:uid="{15821EF0-C7C1-4CC7-992D-87588667D3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2" authorId="0" shapeId="0" xr:uid="{9299BBCF-4EAF-48F1-A783-0729ADBA1C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2" authorId="0" shapeId="0" xr:uid="{A9CD8042-032F-4BC9-AC19-2F4D7F68F9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2" authorId="0" shapeId="0" xr:uid="{3AA3DA96-8A8F-498A-8DE7-047D0A3F50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12" authorId="0" shapeId="0" xr:uid="{1B0BD1BA-73D4-42E2-BCA1-E3B2F5A58F1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3" authorId="0" shapeId="0" xr:uid="{E6F73A4D-662C-4CE1-B2DD-468C7D99DD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3" authorId="0" shapeId="0" xr:uid="{9F8120B2-E113-43B1-AF04-976E3B4471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3" authorId="0" shapeId="0" xr:uid="{3D72B205-D2AD-41BF-8531-1503058D27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3" authorId="0" shapeId="0" xr:uid="{855B6316-84BB-4F57-99DD-41936B82BC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3" authorId="0" shapeId="0" xr:uid="{3584040C-5801-4687-97A5-63BD5F7D42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3" authorId="0" shapeId="0" xr:uid="{EB372115-5994-4AEB-9966-E3E28F9079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3" authorId="0" shapeId="0" xr:uid="{4ACD7266-5934-4BD0-849B-6D765055DF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3" authorId="0" shapeId="0" xr:uid="{DB82AFED-17FA-4C73-AE7F-FD36CBCAC7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3" authorId="0" shapeId="0" xr:uid="{5AD6FE65-4C9F-42E8-BC67-79FC7B34EC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3" authorId="0" shapeId="0" xr:uid="{5214AD82-5107-443E-B25C-846CFE1267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13" authorId="0" shapeId="0" xr:uid="{9EFC391F-265E-411A-B2A7-F3674A1F879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4" authorId="0" shapeId="0" xr:uid="{9AEC5AD2-394B-4FF3-A4BE-F48253714F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4" authorId="0" shapeId="0" xr:uid="{661FEC6C-4735-4A1E-8FCE-48DABC0FF7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4" authorId="0" shapeId="0" xr:uid="{6C8BCFF6-7D85-4558-8A26-993ECDD5FB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4" authorId="0" shapeId="0" xr:uid="{E5D75BDE-AF80-4696-BDCB-C1C8AD0A80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4" authorId="0" shapeId="0" xr:uid="{FD3497BA-00AD-4EC9-B91D-0720E235DF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4" authorId="0" shapeId="0" xr:uid="{B960A799-56C1-429B-AB16-F7FD1EC775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4" authorId="0" shapeId="0" xr:uid="{A0057620-83BA-49EA-AA5A-7824B27B44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4" authorId="0" shapeId="0" xr:uid="{BE4ACB22-9BD2-4517-A245-FC9BE875A2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4" authorId="0" shapeId="0" xr:uid="{AFDE3854-AEBA-4354-97C0-3829250642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4" authorId="0" shapeId="0" xr:uid="{2354D244-6604-4E62-868F-79F36650DD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14" authorId="0" shapeId="0" xr:uid="{E4AAD091-483D-4BF9-8B5C-E38C1E117CE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5" authorId="0" shapeId="0" xr:uid="{539CEC0C-8350-4654-9028-07A3D47BA6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5" authorId="0" shapeId="0" xr:uid="{18A7DCDD-0AC5-40F3-BC44-11D30E3514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5" authorId="0" shapeId="0" xr:uid="{444DFBA3-F74C-4FB7-BF3F-CF05B5D063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5" authorId="0" shapeId="0" xr:uid="{839D3BDF-0C50-4F43-ACB3-24252803F5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5" authorId="0" shapeId="0" xr:uid="{ABE79DA1-E83C-4EDD-B68C-C5EA207866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5" authorId="0" shapeId="0" xr:uid="{AE2C4B18-11A7-4B1D-8DF5-622BE6AB1F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5" authorId="0" shapeId="0" xr:uid="{B692360A-D61D-4AAF-BF4E-67CAAD5E9E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5" authorId="0" shapeId="0" xr:uid="{2920087C-4D1D-4EFD-8D28-081366E5916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5" authorId="0" shapeId="0" xr:uid="{3B6A160B-AE4A-4D7B-9397-8A33587ACB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5" authorId="0" shapeId="0" xr:uid="{B50AC1F9-3F12-4D4B-9BBE-60DD858A4F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15" authorId="0" shapeId="0" xr:uid="{BAA8993B-D69D-44E1-B695-481470FC9EB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6" authorId="0" shapeId="0" xr:uid="{E4C3FF55-70F2-42C9-B845-649F49C015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6" authorId="0" shapeId="0" xr:uid="{0D26C04E-8D4C-45EA-9C02-B470598814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6" authorId="0" shapeId="0" xr:uid="{3F9640E9-4703-4A55-B984-1A47B02F1B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6" authorId="0" shapeId="0" xr:uid="{65439329-4CC6-49E1-84C8-74EF75C8C5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6" authorId="0" shapeId="0" xr:uid="{372D6EC2-29EF-40A5-A242-E1229A127C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6" authorId="0" shapeId="0" xr:uid="{E2731A47-D5F5-4775-872E-F29767E8C1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6" authorId="0" shapeId="0" xr:uid="{9C932E40-AAFF-4D59-B336-38B672AEB0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6" authorId="0" shapeId="0" xr:uid="{700E3673-5C0A-4EF4-A4AC-AB9D4FDC8A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6" authorId="0" shapeId="0" xr:uid="{D2901721-4BF4-46A8-AAD6-97C731530F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6" authorId="0" shapeId="0" xr:uid="{AF9B0C50-57A3-4026-B901-BDFA327BAA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16" authorId="0" shapeId="0" xr:uid="{012E142C-37A4-43BB-9CD4-564E59412E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7" authorId="0" shapeId="0" xr:uid="{5CC1950A-8BD1-4D08-B42A-40E3B24F37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7" authorId="0" shapeId="0" xr:uid="{910ED8E4-1F6E-4BB5-B24F-6A05563556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7" authorId="0" shapeId="0" xr:uid="{65D54107-18E3-4AAA-A4EB-2DFE852D34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7" authorId="0" shapeId="0" xr:uid="{9A7354D2-14F2-4516-A608-2CDC0BBD4A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7" authorId="0" shapeId="0" xr:uid="{35DF1089-5452-45F8-9BD5-0301A7F81C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7" authorId="0" shapeId="0" xr:uid="{4D7BB019-A818-4225-9412-01C77176B5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7" authorId="0" shapeId="0" xr:uid="{23DD9B64-1E3D-4D5E-9E84-C9ABDCF8FB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7" authorId="0" shapeId="0" xr:uid="{CDD16066-12AA-4A94-A104-E922EFFD6D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7" authorId="0" shapeId="0" xr:uid="{BA89EDCA-D85C-42C4-99DA-CA07C549AE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7" authorId="0" shapeId="0" xr:uid="{C8C69D51-5D7F-4F48-9345-63F33B77B0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17" authorId="0" shapeId="0" xr:uid="{23B740D3-8EFB-4F31-B7B8-941E5FD2741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0" authorId="0" shapeId="0" xr:uid="{20C51A8F-C302-4DF4-9C49-C544A01AE6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0" authorId="0" shapeId="0" xr:uid="{E311D5D7-D626-4392-8936-E4CCE714CE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0" authorId="0" shapeId="0" xr:uid="{7ED5E7AF-3079-41D5-A6D0-9D616B297E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0" authorId="0" shapeId="0" xr:uid="{9B6D56CD-25BD-44C7-8F65-A9138D09AD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0" authorId="0" shapeId="0" xr:uid="{71C2B24F-6B3C-4338-BF41-B86FEFD272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0" authorId="0" shapeId="0" xr:uid="{560AC66F-5A19-46B7-A931-A9CAFB60A7A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0" authorId="0" shapeId="0" xr:uid="{E6BF9D85-E751-406F-ACBA-F0CB8B1AEB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0" authorId="0" shapeId="0" xr:uid="{82FC67FF-BCE9-418B-BB78-5CDFBFBED8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0" authorId="0" shapeId="0" xr:uid="{3743D3B5-FED8-4B0B-AA6E-A853F6B8ED0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0" authorId="0" shapeId="0" xr:uid="{F652D7DD-A525-4ADA-A4BF-68C222703D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20" authorId="0" shapeId="0" xr:uid="{876B5659-230E-4EBD-9088-9170F3D5DD8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1" authorId="0" shapeId="0" xr:uid="{2C45C4C7-BD45-44B0-9317-B4C08E6557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1" authorId="0" shapeId="0" xr:uid="{C0721156-5DCD-43AF-B52A-5B9B42BD2A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1" authorId="0" shapeId="0" xr:uid="{00F3B826-D257-4848-95FF-8F318E00BA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1" authorId="0" shapeId="0" xr:uid="{0025A81A-BDE7-4BE0-B20F-7F08C52738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1" authorId="0" shapeId="0" xr:uid="{C4E86B95-6639-49BE-90F0-792160D445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1" authorId="0" shapeId="0" xr:uid="{58DBFAC0-E5E3-4638-8806-6F74DDA156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1" authorId="0" shapeId="0" xr:uid="{9308FEF8-13AC-4A33-B721-0288A25D1C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1" authorId="0" shapeId="0" xr:uid="{C681FF16-CD05-4904-9447-933DC1366B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1" authorId="0" shapeId="0" xr:uid="{0C0DB434-BE6E-4388-8D06-6CBEEC42E5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1" authorId="0" shapeId="0" xr:uid="{91373BA2-37EB-4168-8877-7F3E79AE88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21" authorId="0" shapeId="0" xr:uid="{6B5F659B-0583-48E6-84A1-FF9EAA18F47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2" authorId="0" shapeId="0" xr:uid="{F7186CCD-88E1-422A-AE06-949D771F5D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2" authorId="0" shapeId="0" xr:uid="{53CC0923-D5E6-4443-A053-E9CC183083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2" authorId="0" shapeId="0" xr:uid="{3AD96787-D7D4-4D51-8CC6-A15EAF2C75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2" authorId="0" shapeId="0" xr:uid="{F85A7F31-C692-4905-A57A-A75C379776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2" authorId="0" shapeId="0" xr:uid="{C08AD66D-F903-4D20-92D9-0A8F5DAF4A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2" authorId="0" shapeId="0" xr:uid="{AC5B1214-0CDB-4F24-ACCA-230CE3C52E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2" authorId="0" shapeId="0" xr:uid="{C5EDB2E8-67DC-499A-8FF4-7D3C198FC7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2" authorId="0" shapeId="0" xr:uid="{B2F6E2E3-4B53-4925-8A72-0EE68AC41C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2" authorId="0" shapeId="0" xr:uid="{37EC8C82-442F-4DEE-99D8-5DF1016508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2" authorId="0" shapeId="0" xr:uid="{07FC8732-8429-4DFC-BC70-2231D41C87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22" authorId="0" shapeId="0" xr:uid="{05B31AB2-9157-4EA0-AE94-FFCCCFEE41F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3" authorId="0" shapeId="0" xr:uid="{F9D1BECF-A1E4-48F3-BAAB-79489A2B1F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3" authorId="0" shapeId="0" xr:uid="{761E3E29-BB1E-40D7-8584-38BB3EB0B88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3" authorId="0" shapeId="0" xr:uid="{99544EFE-23CE-4309-B170-AC26C6E563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3" authorId="0" shapeId="0" xr:uid="{D2DB77CD-2530-4606-9ACF-9B0374FE0E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3" authorId="0" shapeId="0" xr:uid="{824FF940-B70E-4F00-828C-E09F9E5155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3" authorId="0" shapeId="0" xr:uid="{F3490DD7-DCB6-4E38-85ED-C90B2B8701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3" authorId="0" shapeId="0" xr:uid="{CBAB626A-3C5D-4A93-8493-9032438189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3" authorId="0" shapeId="0" xr:uid="{528529EB-9E70-48D1-9FA5-555F020EDF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3" authorId="0" shapeId="0" xr:uid="{7C71DFEA-188A-42BE-A222-F6EB19405A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3" authorId="0" shapeId="0" xr:uid="{99C1BE66-106B-4F16-8F77-C72B076391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23" authorId="0" shapeId="0" xr:uid="{0B094549-63E3-43AF-A807-55AE81282DD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4" authorId="0" shapeId="0" xr:uid="{B52E957F-403B-467C-9046-EADE3E60E4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4" authorId="0" shapeId="0" xr:uid="{21A161BC-6CFF-46E2-A545-C6977EFBF8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4" authorId="0" shapeId="0" xr:uid="{9855BFF1-EFCE-4C34-93CB-4F509CB12B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4" authorId="0" shapeId="0" xr:uid="{F8D8E64D-1258-41E2-AC08-36FB9B6D46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4" authorId="0" shapeId="0" xr:uid="{C307720F-411A-42D4-919A-51935F52E4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4" authorId="0" shapeId="0" xr:uid="{19C3CE11-5EE1-42A4-A7C9-FEC44BAD12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4" authorId="0" shapeId="0" xr:uid="{13771D8A-C983-40F3-A127-6F8B72867C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4" authorId="0" shapeId="0" xr:uid="{FAFB5671-5C88-4828-8D91-F6530464E5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4" authorId="0" shapeId="0" xr:uid="{9AE332D2-413E-40A3-8C65-0F0FBA81C1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4" authorId="0" shapeId="0" xr:uid="{2B8B7F80-0153-4FF0-8968-E06F6CF269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24" authorId="0" shapeId="0" xr:uid="{5D10DB16-1D5E-4B07-A518-F28DBC9A8E8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5" authorId="0" shapeId="0" xr:uid="{6E6DDB4A-E61F-4FA2-9B12-71940B234A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5" authorId="0" shapeId="0" xr:uid="{EB8C2C08-1456-4BE5-B0EA-FFF59D2E22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5" authorId="0" shapeId="0" xr:uid="{359379E9-CE23-4A3D-81CA-22AF2AADB2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5" authorId="0" shapeId="0" xr:uid="{E137C25F-D7B2-4E5E-9FB0-427B97EEB9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5" authorId="0" shapeId="0" xr:uid="{FA3F49AD-4BFA-49DE-B1EE-037F14A53C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5" authorId="0" shapeId="0" xr:uid="{A53D791B-C6E5-4BC3-AC8B-455B4236AA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5" authorId="0" shapeId="0" xr:uid="{ECE5489C-2B17-4E45-A68E-CFA8FEE07E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5" authorId="0" shapeId="0" xr:uid="{93E9E31F-7718-4759-AF73-7A6921CF7D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5" authorId="0" shapeId="0" xr:uid="{23A07D36-0BB2-430D-B41B-F78F84A394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5" authorId="0" shapeId="0" xr:uid="{34F1852A-6B28-4E9C-BDF2-D9830343A1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25" authorId="0" shapeId="0" xr:uid="{3315F460-F95A-48C8-9A20-D76506EC3CD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6" authorId="0" shapeId="0" xr:uid="{853071D4-9521-4DE0-A2A8-8855BF1BB3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6" authorId="0" shapeId="0" xr:uid="{A1AB994A-93D9-4882-84F7-071301D470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6" authorId="0" shapeId="0" xr:uid="{6860A978-5ABE-457B-B32C-48CC7FDDAA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6" authorId="0" shapeId="0" xr:uid="{10B04BE3-D0B4-401A-9AED-B69E15551D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6" authorId="0" shapeId="0" xr:uid="{FE96B3B1-E3A4-4D0F-A05A-6996F88E89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6" authorId="0" shapeId="0" xr:uid="{326696AF-29C8-4B1B-B3B5-DC5E006FAB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6" authorId="0" shapeId="0" xr:uid="{AE3612E6-0A3E-487A-B81A-D3856F9D9B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6" authorId="0" shapeId="0" xr:uid="{E852D0EB-26F8-4A27-B485-F955C77ACE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6" authorId="0" shapeId="0" xr:uid="{57AA89B4-4C56-4832-AAC4-54819ABF70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6" authorId="0" shapeId="0" xr:uid="{B63ABE25-8F94-4F52-A9A6-CA21229DDF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26" authorId="0" shapeId="0" xr:uid="{60F15D09-9A57-4111-8C4C-6035862CC0C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7" authorId="0" shapeId="0" xr:uid="{AAA89B40-6051-4967-9ADE-12AA0412FD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7" authorId="0" shapeId="0" xr:uid="{9E8F4B55-98DF-4979-B716-F67CC77CBE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7" authorId="0" shapeId="0" xr:uid="{7E5510A8-4C15-4E1A-8995-0F2A38E480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7" authorId="0" shapeId="0" xr:uid="{94BBAFBB-1540-4B2B-9588-1629593C4F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7" authorId="0" shapeId="0" xr:uid="{CFA338A3-7A38-4F78-B8FD-362BCB0393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7" authorId="0" shapeId="0" xr:uid="{10AB1018-6A43-4E0C-84FC-8C14FB154F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7" authorId="0" shapeId="0" xr:uid="{9D8B1ED4-1455-49C8-A648-0610FD90E6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7" authorId="0" shapeId="0" xr:uid="{24556C65-FC08-4DAA-BBF4-12786736EA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7" authorId="0" shapeId="0" xr:uid="{939B1F6B-5108-4842-9FC0-7C0D1AAAFE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7" authorId="0" shapeId="0" xr:uid="{D2C0F3AA-599C-4104-B8DA-33423C5C5B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27" authorId="0" shapeId="0" xr:uid="{93D2483C-C9B0-4E1A-91C6-E766126AFCF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8" authorId="0" shapeId="0" xr:uid="{E142111A-A9C3-4195-9D69-FCE8A41F49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8" authorId="0" shapeId="0" xr:uid="{D9CCD9C2-3220-49F8-B7DC-268C8AEBE9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8" authorId="0" shapeId="0" xr:uid="{FB3DB21E-4286-44C2-A8C5-3AD8CBA86D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8" authorId="0" shapeId="0" xr:uid="{BECAD7B6-C883-44D2-B1FB-00B67F0B04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8" authorId="0" shapeId="0" xr:uid="{1E3B9F17-17BD-42A1-99CE-A3CE2F7339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8" authorId="0" shapeId="0" xr:uid="{A462B5C9-CEE0-4B4B-A3A0-B045BCC829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8" authorId="0" shapeId="0" xr:uid="{7D0CFB71-A9D9-4C80-8DB3-D7F9A772ED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8" authorId="0" shapeId="0" xr:uid="{05FAEE24-0EE2-4D2B-BB79-9005086DF9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8" authorId="0" shapeId="0" xr:uid="{0943A7DE-C8B6-4371-A0FE-5637632C2A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8" authorId="0" shapeId="0" xr:uid="{8BCD1E7F-00B8-424F-9635-6456746913A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28" authorId="0" shapeId="0" xr:uid="{9CB9A987-F6E3-4D7C-A93A-AB5C80C1FA9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9" authorId="0" shapeId="0" xr:uid="{4EC7461D-6C01-4F4E-9555-52D5B47A9C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29" authorId="0" shapeId="0" xr:uid="{DD7FB7A7-EC4A-4D09-A484-4FDB85137B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29" authorId="0" shapeId="0" xr:uid="{C07486CB-F338-4328-95EE-8BE48E9033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29" authorId="0" shapeId="0" xr:uid="{CA310744-25AA-4817-AAFD-4D416F5CFE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29" authorId="0" shapeId="0" xr:uid="{3F379DCB-2E3E-40FD-9C00-C5DC01A917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29" authorId="0" shapeId="0" xr:uid="{68631424-24F3-4266-B2D6-A55C3BA98E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29" authorId="0" shapeId="0" xr:uid="{B252ACB1-2619-43E4-AD50-1C641337A9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29" authorId="0" shapeId="0" xr:uid="{F572426E-6F36-4E8F-923F-56109501DE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29" authorId="0" shapeId="0" xr:uid="{C276BDA6-D69F-4777-8ADC-8D26A41692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29" authorId="0" shapeId="0" xr:uid="{1B19A281-82F6-492B-82FA-F74C7AFEBA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29" authorId="0" shapeId="0" xr:uid="{D329AB01-C732-4640-8DDB-A6D6462D849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30" authorId="0" shapeId="0" xr:uid="{7E598D04-994D-4169-BEC4-37AFD3C0AE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0" authorId="0" shapeId="0" xr:uid="{070B1922-AEEF-48FE-8915-CFA8EFC5CF2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0" authorId="0" shapeId="0" xr:uid="{1EC6AF07-145E-47C8-824B-9A7EA77C76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0" authorId="0" shapeId="0" xr:uid="{82AF6953-D751-4E19-A2B0-00F85A884C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0" authorId="0" shapeId="0" xr:uid="{EF9E09FC-E1C9-42B9-B6B0-BC5947F24E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0" authorId="0" shapeId="0" xr:uid="{FA16A183-1532-4701-8A02-2BE5536377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0" authorId="0" shapeId="0" xr:uid="{6D29515A-8C7B-4C5C-823B-24F3A92E8B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0" authorId="0" shapeId="0" xr:uid="{1841EA72-62DE-4198-A411-13F42E8A00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0" authorId="0" shapeId="0" xr:uid="{FE93E2B1-D711-4A2A-A8DE-E7A91C87C2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0" authorId="0" shapeId="0" xr:uid="{0710AF20-4032-4785-AD99-E65B76A49D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30" authorId="0" shapeId="0" xr:uid="{9AC44636-FAB8-4F21-A977-F55C968E011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31" authorId="0" shapeId="0" xr:uid="{4CCE6854-1F8C-457D-9D67-A417F4A494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1" authorId="0" shapeId="0" xr:uid="{C4F88934-29D8-40E4-9335-23746FAD7C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1" authorId="0" shapeId="0" xr:uid="{B023CBCB-2E9A-44C8-A30C-7A077AB736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1" authorId="0" shapeId="0" xr:uid="{DF4BDE6C-F78A-40B3-977B-403DA79EC6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1" authorId="0" shapeId="0" xr:uid="{302CE7E9-3644-4D0A-A63D-E1FD8204C4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1" authorId="0" shapeId="0" xr:uid="{24BB0BDA-74F8-476F-9C02-C1F46703C0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1" authorId="0" shapeId="0" xr:uid="{6AECBEC3-ECE8-4723-A2D3-1AAF43FCC3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1" authorId="0" shapeId="0" xr:uid="{929DCF47-1241-4608-9821-348FD40895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1" authorId="0" shapeId="0" xr:uid="{08ED9BE7-C66F-4F30-A08B-2FC8B92FB75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1" authorId="0" shapeId="0" xr:uid="{A4C91847-E515-41F7-B79D-067FE3A433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31" authorId="0" shapeId="0" xr:uid="{883327EE-4A25-4A8C-BE34-A0932FA6AC3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32" authorId="0" shapeId="0" xr:uid="{0A9BA618-2190-4B7F-B7A1-318AD98399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2" authorId="0" shapeId="0" xr:uid="{683F6DEC-214A-4EB8-99D6-66ADD840B3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2" authorId="0" shapeId="0" xr:uid="{6BC936B7-AB69-4768-89E9-5D4290B6F2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2" authorId="0" shapeId="0" xr:uid="{349FA4F8-3D73-463A-BEB2-D803FD70ED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2" authorId="0" shapeId="0" xr:uid="{58D51FE1-3B86-42F7-89FD-65EB83E167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2" authorId="0" shapeId="0" xr:uid="{511D359C-AE5A-4B6E-8965-0482727EBF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2" authorId="0" shapeId="0" xr:uid="{70658388-3FD3-4515-ADB7-B8457846FE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2" authorId="0" shapeId="0" xr:uid="{CBCE3D8F-29DC-4943-99ED-49DEE3CAE3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2" authorId="0" shapeId="0" xr:uid="{43466496-50BF-4FC2-91A6-254DBFAC04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2" authorId="0" shapeId="0" xr:uid="{73B571A7-5C0C-4709-AB1A-11E3321327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32" authorId="0" shapeId="0" xr:uid="{6279CC56-D342-4342-A013-7029D0C07B7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33" authorId="0" shapeId="0" xr:uid="{E2E87379-DA31-4001-A1D9-817E7C9B09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3" authorId="0" shapeId="0" xr:uid="{899C55C9-B24F-4D80-BB2C-DF20C97182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3" authorId="0" shapeId="0" xr:uid="{E446DB00-E02A-485D-9EED-6DDBE97162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3" authorId="0" shapeId="0" xr:uid="{F8D42C98-9002-4B18-8CFA-2F5964AD26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3" authorId="0" shapeId="0" xr:uid="{770C3554-E2F5-4CEA-B51F-80D8D64BCE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3" authorId="0" shapeId="0" xr:uid="{1FDB4773-AAA9-4EFC-B7AD-00E5674D8F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3" authorId="0" shapeId="0" xr:uid="{08AA2B5C-6FE9-4941-9BC9-88E1DD52A5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3" authorId="0" shapeId="0" xr:uid="{7A77588E-A208-4309-96E1-35DA7FF318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3" authorId="0" shapeId="0" xr:uid="{A36B5349-DD67-4F49-BDE1-803F631D1F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3" authorId="0" shapeId="0" xr:uid="{DE52EB8C-7FD4-4B1B-8E8E-D076319084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33" authorId="0" shapeId="0" xr:uid="{47BD0432-4E09-4C07-9D4B-B70A8A6B66E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34" authorId="0" shapeId="0" xr:uid="{288F4EEF-F519-4FCB-A82E-CBFA356B9B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4" authorId="0" shapeId="0" xr:uid="{0C0F9B37-7AF8-463F-8586-FCFFFB51E0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4" authorId="0" shapeId="0" xr:uid="{B7C7B5C0-3D71-42A4-A41A-A7175F0FF1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4" authorId="0" shapeId="0" xr:uid="{1974E6CB-D6AB-4FBF-B9CC-43523B016A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4" authorId="0" shapeId="0" xr:uid="{8E2A1C27-063B-4FE3-A82B-7BD0C330F5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4" authorId="0" shapeId="0" xr:uid="{FF555BE5-232E-451C-AE96-BE82A02F0F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4" authorId="0" shapeId="0" xr:uid="{3C21E26E-FA4B-4A94-95EA-AD37D13984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4" authorId="0" shapeId="0" xr:uid="{D37F9A1C-D4F8-424A-A04B-A52FFA05DC6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4" authorId="0" shapeId="0" xr:uid="{459A1E16-D3E5-4D11-B272-9D0435B36F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4" authorId="0" shapeId="0" xr:uid="{C96AC381-1F47-4C45-A142-EA5882FEB2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34" authorId="0" shapeId="0" xr:uid="{C57817C4-A828-43B1-8896-2FA0AF3F1F7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35" authorId="0" shapeId="0" xr:uid="{B28475B6-958C-4DD1-9920-6B9405F445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5" authorId="0" shapeId="0" xr:uid="{9D63303E-AF11-4BDA-8B0C-2B620C12FA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5" authorId="0" shapeId="0" xr:uid="{973EC0B8-36DC-44E5-A592-1102A7B386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5" authorId="0" shapeId="0" xr:uid="{512846DC-DAFD-4DEA-B27B-EC688E436D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5" authorId="0" shapeId="0" xr:uid="{C6EA0A77-AB7D-4508-8F7A-A2447651D8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5" authorId="0" shapeId="0" xr:uid="{A50CAB40-6788-4B1D-BB48-1A3669F725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5" authorId="0" shapeId="0" xr:uid="{EC61EBE3-355E-4DA1-BA24-7185A76D90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5" authorId="0" shapeId="0" xr:uid="{B3CB9C9D-7F94-4C69-9188-709ECA1D8D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5" authorId="0" shapeId="0" xr:uid="{217DE3E0-72D4-4D5F-8FA2-E1BF6A3C01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5" authorId="0" shapeId="0" xr:uid="{71937B3B-50B1-40C7-BFDE-AD3D114C88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35" authorId="0" shapeId="0" xr:uid="{6E36F708-6CE0-494C-A7DC-5C3BB8101D1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36" authorId="0" shapeId="0" xr:uid="{A5E1EF4C-5EC6-4A73-9F86-E1BAC0A936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6" authorId="0" shapeId="0" xr:uid="{70743C07-9EE0-4E3C-8C27-94E6D174B6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6" authorId="0" shapeId="0" xr:uid="{BFEF53CF-3587-420E-A901-2DC8FD2E73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6" authorId="0" shapeId="0" xr:uid="{7D098881-00AD-4057-873B-F257CC0FB6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6" authorId="0" shapeId="0" xr:uid="{A2644DA0-1EA4-4803-B3A8-5C18C2F56E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6" authorId="0" shapeId="0" xr:uid="{42402475-5973-4261-9B18-26A12608C1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6" authorId="0" shapeId="0" xr:uid="{2BA0E977-CCB3-473B-BF19-2B49BC38C1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6" authorId="0" shapeId="0" xr:uid="{72A25A35-0061-489F-A2E7-850B67CB96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6" authorId="0" shapeId="0" xr:uid="{1A828014-5CBB-49D9-BAF5-EE197D4361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6" authorId="0" shapeId="0" xr:uid="{1B8DF7B9-7DA9-4E2F-8482-523508EB95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36" authorId="0" shapeId="0" xr:uid="{270AFA8D-5387-4388-B4BD-F19E4635434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37" authorId="0" shapeId="0" xr:uid="{A52AC3B6-801F-4235-8A59-E9C23A27D8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7" authorId="0" shapeId="0" xr:uid="{DCE044E6-4859-48AB-B74D-8483737F24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7" authorId="0" shapeId="0" xr:uid="{A676D468-6115-4F78-A2D0-36C7F15D2B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7" authorId="0" shapeId="0" xr:uid="{B0EE5F76-E35A-4A26-BF34-4404D86C0D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7" authorId="0" shapeId="0" xr:uid="{EC1517F8-EDA6-49BA-A030-4E23DB6DDD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7" authorId="0" shapeId="0" xr:uid="{CCE67151-31B4-47A9-BE97-D9DD2FA3BA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7" authorId="0" shapeId="0" xr:uid="{EC64BF65-D9B5-41F2-B8DB-DCFF15CF72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7" authorId="0" shapeId="0" xr:uid="{1E51CBDE-C460-4591-9DF8-7047074826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7" authorId="0" shapeId="0" xr:uid="{1D49FF34-BFAF-43E7-A956-FBB0C8E004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7" authorId="0" shapeId="0" xr:uid="{DF884EDF-3F78-4768-8D83-A487E707FF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37" authorId="0" shapeId="0" xr:uid="{EAD62D20-0953-484E-B264-E669BC4E5C1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38" authorId="0" shapeId="0" xr:uid="{36B70165-048E-4422-851D-CECB4EE5A9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8" authorId="0" shapeId="0" xr:uid="{1764B333-38A8-4AA9-92F2-E93EB077A5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8" authorId="0" shapeId="0" xr:uid="{9DCBE451-5993-43E4-B653-DC5D3924BD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8" authorId="0" shapeId="0" xr:uid="{1C85F0C0-1A43-4E2F-9B79-180D0A57F4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8" authorId="0" shapeId="0" xr:uid="{62DCB907-5FFE-4F14-89CC-2A0029319C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8" authorId="0" shapeId="0" xr:uid="{EE494852-EC49-4A79-AC0D-1203F31115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8" authorId="0" shapeId="0" xr:uid="{9C1460FD-6D37-4FA2-A188-67CB9C6A3B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8" authorId="0" shapeId="0" xr:uid="{18A3C7CB-62A6-47B6-BFC7-22E9B63B35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8" authorId="0" shapeId="0" xr:uid="{CBC5C119-66F3-4F43-AD5A-43D42F6314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8" authorId="0" shapeId="0" xr:uid="{BF5F92DB-FABE-4926-94D8-2DDD3621E4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38" authorId="0" shapeId="0" xr:uid="{809C7625-2264-4EAE-AA14-86150B2E544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39" authorId="0" shapeId="0" xr:uid="{F11A1548-340A-459B-A265-271C5E1AEF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39" authorId="0" shapeId="0" xr:uid="{A1E4A71F-8116-41F6-9F0D-DA63653A19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39" authorId="0" shapeId="0" xr:uid="{B088BC22-0C3F-43DA-AF59-F045FAE2CB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39" authorId="0" shapeId="0" xr:uid="{E7FFB721-C260-4043-BA07-854D4B53C7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39" authorId="0" shapeId="0" xr:uid="{C18D9764-382A-478C-A839-73011F4A63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39" authorId="0" shapeId="0" xr:uid="{5C8C0ABC-108B-450F-9415-588AFC0A6F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39" authorId="0" shapeId="0" xr:uid="{E440FF09-D628-4B04-82EC-390D98B5E8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39" authorId="0" shapeId="0" xr:uid="{F063DD3A-5A64-4D7F-882E-7C19205A6B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39" authorId="0" shapeId="0" xr:uid="{24A41561-6F1E-425E-B1EC-54365D36C9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39" authorId="0" shapeId="0" xr:uid="{FF357D0F-3F74-4F79-AB1E-D7279A6587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39" authorId="0" shapeId="0" xr:uid="{A12151AC-CA93-4C2C-9719-3B1A686B5F7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40" authorId="0" shapeId="0" xr:uid="{B629849A-9FA9-44F0-AA46-B7D71AD5CF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40" authorId="0" shapeId="0" xr:uid="{FBFE7A3A-6116-4232-B1D0-278EF64AC0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40" authorId="0" shapeId="0" xr:uid="{A67A37B9-014D-49C5-B1F2-8EB01A229BC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40" authorId="0" shapeId="0" xr:uid="{3A7CF3D7-9AAD-4EA5-966D-1C5BC8F085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40" authorId="0" shapeId="0" xr:uid="{AC893338-E8A7-4B1D-AC7C-6D6781A1ED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40" authorId="0" shapeId="0" xr:uid="{50E7C233-661A-4FA5-A7DE-4C4030DDE4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40" authorId="0" shapeId="0" xr:uid="{5C883DD4-9CFB-48D2-B03C-8DFE1EAC58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40" authorId="0" shapeId="0" xr:uid="{EF36FD72-4063-4D2F-8531-B4354E25CE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40" authorId="0" shapeId="0" xr:uid="{FCA131F4-7AB7-4BFA-B216-33889F2392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40" authorId="0" shapeId="0" xr:uid="{EC103E17-40F5-4AB6-B08A-0FB26D4B65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40" authorId="0" shapeId="0" xr:uid="{DD6AFDED-E09F-4F28-884B-F6151CF277A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 RAM SAI</author>
  </authors>
  <commentList>
    <comment ref="B5" authorId="0" shapeId="0" xr:uid="{ADD0786A-B6FE-4D4F-922C-77A375796D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32CA2B66-B2E1-4BC7-AC3B-10E7BD4328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 xr:uid="{049DB458-6108-4D1F-9F9A-1C281E85C9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C5DF1CC4-5947-4BA9-916C-3EDC3FEA89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29FCDE28-4544-47DC-B02C-406B2583BD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C0EBF68C-6CD5-4AA2-B0CE-A7AE396893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833AB47C-4486-43A4-AA84-4BC63806FA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AF50D012-6B21-400A-8715-1BB0488A38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3" authorId="0" shapeId="0" xr:uid="{D7DD327F-D03D-4D8B-87C3-740536E869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" authorId="0" shapeId="0" xr:uid="{29FC4D06-CEBD-4F05-AF58-7CF803DE9D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" authorId="0" shapeId="0" xr:uid="{0CE65097-20A0-4DEA-82AB-7935FC52BD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6" authorId="0" shapeId="0" xr:uid="{AEEA7538-45C2-4D1B-BFE2-CEED0A55B7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7" authorId="0" shapeId="0" xr:uid="{D92B528A-6E15-4C27-A970-49209F0C50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8" authorId="0" shapeId="0" xr:uid="{AD48711D-BCCC-418B-8621-015998E9D4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7F7A0724-106D-4F19-8CC8-6C129FEF85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9D450A3F-9CAD-4D69-85E6-E3B6ABCFED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E6693F30-EBD8-4B66-B893-C2C82C4C9D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2" authorId="0" shapeId="0" xr:uid="{6F6BA114-7DB9-49BD-96C3-5EE0AD8A41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3" authorId="0" shapeId="0" xr:uid="{29AEF869-6FB2-47EA-B657-E38E777ECB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4" authorId="0" shapeId="0" xr:uid="{C275CEE2-20B1-4903-A291-9B9EB864DE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5" authorId="0" shapeId="0" xr:uid="{11AFC664-FA74-4DC1-91C8-D58A6FD442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 RAM SAI</author>
  </authors>
  <commentList>
    <comment ref="B5" authorId="0" shapeId="0" xr:uid="{F8B74985-4AB9-4D39-B359-0A579454D8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" authorId="0" shapeId="0" xr:uid="{B0F9628A-FEFB-4E04-80D8-DB13DB5DAF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" authorId="0" shapeId="0" xr:uid="{E5B7E941-07CC-4551-814E-DB04DAC1CF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" authorId="0" shapeId="0" xr:uid="{DB32E067-B4CC-443E-AAFF-4877558001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" authorId="0" shapeId="0" xr:uid="{4CFFAA88-21A9-4B70-9ABD-107222CF11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" authorId="0" shapeId="0" xr:uid="{339DADE4-6106-4EC0-A8E3-9243EB688F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5" authorId="0" shapeId="0" xr:uid="{1D4C2EEE-BBFB-49CF-B969-D58C54A790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" authorId="0" shapeId="0" xr:uid="{4E5926EE-B31B-4E7E-917D-9E1283BE2C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5" authorId="0" shapeId="0" xr:uid="{5EB14DC5-44F5-40F0-89D5-1EFD1583E0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5" authorId="0" shapeId="0" xr:uid="{A666C894-815C-43C2-9FB8-6AB0380F9A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" authorId="0" shapeId="0" xr:uid="{40AD0BD7-9D9A-4E4A-8E7D-CB842C3240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" authorId="0" shapeId="0" xr:uid="{ED6008E4-06A5-48B6-8027-2078FA44DE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5" authorId="0" shapeId="0" xr:uid="{4F8B0505-ACAE-45DF-B6A1-09BC299E27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5" authorId="0" shapeId="0" xr:uid="{9E5CFF54-0854-4FF4-BCAF-4CF00E8E31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" authorId="0" shapeId="0" xr:uid="{C14086F3-7435-4A5F-88E0-5BDA20D825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5" authorId="0" shapeId="0" xr:uid="{55289D67-E2CD-439C-B8ED-A016798A9D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" authorId="0" shapeId="0" xr:uid="{C1048639-5799-46FD-911D-54AD78D44A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" authorId="0" shapeId="0" xr:uid="{3F4BF9DE-2733-4C4D-A371-8EEC99CA22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" authorId="0" shapeId="0" xr:uid="{2C11878C-214E-4903-9CD4-084CCDCD3F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" authorId="0" shapeId="0" xr:uid="{3D95FBA2-C9CB-44C1-9E16-02C1D5EA2D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" authorId="0" shapeId="0" xr:uid="{BCA042FA-450B-4E68-A602-A201CBA400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" authorId="0" shapeId="0" xr:uid="{4F717689-0695-49E9-8BE6-1000AA38A1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6" authorId="0" shapeId="0" xr:uid="{7D52B80F-9153-4C82-BEC1-75F5985D40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" authorId="0" shapeId="0" xr:uid="{AEF8AFF8-0F8E-4F5C-8CD8-1917B16B6F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6" authorId="0" shapeId="0" xr:uid="{A6F32389-D27C-4159-B262-5B45AA805E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6" authorId="0" shapeId="0" xr:uid="{023AB883-B323-4955-974E-63946DF1A2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" authorId="0" shapeId="0" xr:uid="{A8809014-B8F7-4EE9-A7BD-76D4DCE6D2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" authorId="0" shapeId="0" xr:uid="{EDCF5335-E309-4924-ACA0-DEE2FBD632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6" authorId="0" shapeId="0" xr:uid="{5FE4388F-876B-4BF3-A084-BF0BF424B5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6" authorId="0" shapeId="0" xr:uid="{16F7CDC7-90A4-43D9-82B3-6054DAE424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" authorId="0" shapeId="0" xr:uid="{A4886B63-CA06-4182-AED0-66A9E1A836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6" authorId="0" shapeId="0" xr:uid="{A6A01356-1233-45FF-BD7C-5E8DEEDA00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 xr:uid="{403476E2-FBA9-47FF-AD1C-2E839D11BB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" authorId="0" shapeId="0" xr:uid="{09C88E88-B251-4ED1-A242-D4954B49A9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" authorId="0" shapeId="0" xr:uid="{568D3A52-7460-4EC9-A1EE-DC44A99D0E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" authorId="0" shapeId="0" xr:uid="{1E04167D-E15D-453D-B36C-81716ACDB2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" authorId="0" shapeId="0" xr:uid="{750A137A-CDA7-4656-8C3C-0FCD831CF7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" authorId="0" shapeId="0" xr:uid="{3D4219D5-DB20-4370-9C4C-A9271C2EEC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7" authorId="0" shapeId="0" xr:uid="{2F587B1F-6705-46DF-8579-61F848EFC1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" authorId="0" shapeId="0" xr:uid="{8A43C575-5520-407C-AF00-5318900D10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7" authorId="0" shapeId="0" xr:uid="{843F5CFA-5196-48C7-A7CC-7AA31E90F3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7" authorId="0" shapeId="0" xr:uid="{A40BA127-CDEC-4F67-A8BE-A266EC8C90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" authorId="0" shapeId="0" xr:uid="{3FB8C80D-D8E5-4D9E-B35B-8E3D6E024F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" authorId="0" shapeId="0" xr:uid="{536F64ED-35BA-484A-8847-D68FC5B020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7" authorId="0" shapeId="0" xr:uid="{167FB68F-5D55-4905-A8BD-12B08DF707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7" authorId="0" shapeId="0" xr:uid="{7996DA0E-927F-4C5A-BD4C-2A124E3C49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" authorId="0" shapeId="0" xr:uid="{11AFE86E-689D-4A43-B430-5EAD59E203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7" authorId="0" shapeId="0" xr:uid="{8C5B3966-F4A5-4D3C-917F-C8C74159FF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" authorId="0" shapeId="0" xr:uid="{A1CD546F-1FF7-409A-8A77-166549B3A0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" authorId="0" shapeId="0" xr:uid="{E1AD4F5A-34E7-4A4C-9DBF-0FBB283AF1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" authorId="0" shapeId="0" xr:uid="{0D896400-7D07-4101-86AD-D514F5A503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" authorId="0" shapeId="0" xr:uid="{7A0232E8-0C64-4BC3-9B85-B6B899FCC7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" authorId="0" shapeId="0" xr:uid="{6C66D346-0FE0-4431-BC9A-A58BB4421A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" authorId="0" shapeId="0" xr:uid="{8DB11F63-E023-4E68-9FBE-1A325B03F9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8" authorId="0" shapeId="0" xr:uid="{839E63B6-C9CA-41A2-87B2-3B89BB13DF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8" authorId="0" shapeId="0" xr:uid="{FE202C2A-D4BE-42F0-AC34-386E9C611A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8" authorId="0" shapeId="0" xr:uid="{015E71C6-0B52-45F5-BF32-DD261FD397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8" authorId="0" shapeId="0" xr:uid="{773D5762-2DA0-4862-8AC3-3F4D0C899E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8" authorId="0" shapeId="0" xr:uid="{773254E3-6AF5-43BA-A9A2-B9594544DF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8" authorId="0" shapeId="0" xr:uid="{7F7E96FE-6D31-41AB-B152-316254041A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8" authorId="0" shapeId="0" xr:uid="{685ED8AB-34B5-47A1-B6CF-9AD293547A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8" authorId="0" shapeId="0" xr:uid="{AE3D6045-41B0-4E95-87B1-99BAAA5BC0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8" authorId="0" shapeId="0" xr:uid="{09E4BE89-ADA4-45C8-9024-0C9E6ACD76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8" authorId="0" shapeId="0" xr:uid="{10EC6A30-7F7B-4CF4-AA83-0CF94D0DB6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799E06FC-B2EF-4EBA-BDED-D0854F8092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9" authorId="0" shapeId="0" xr:uid="{83F92F8F-6F48-4939-BC82-CE4627669B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9" authorId="0" shapeId="0" xr:uid="{6B292DCF-EFFF-4D6C-A4A1-3DF779AE55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9" authorId="0" shapeId="0" xr:uid="{31FAF14B-6371-40C9-A30B-D31D48073B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9" authorId="0" shapeId="0" xr:uid="{E9E0653F-E7B2-4064-8FE8-DB972F486B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9" authorId="0" shapeId="0" xr:uid="{EB46B04C-89E3-409B-B70A-C0D2DBC3B8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9" authorId="0" shapeId="0" xr:uid="{504FA620-09B3-477B-97C2-9B170104EF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9" authorId="0" shapeId="0" xr:uid="{4E1B51BF-6C8C-4722-A7B7-C18F4A25F8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9" authorId="0" shapeId="0" xr:uid="{0F7CFE7A-B831-41CE-B844-CBC4FD3DFE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9" authorId="0" shapeId="0" xr:uid="{7ED67533-74A7-4F9C-B87F-B986C72ACF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9" authorId="0" shapeId="0" xr:uid="{F8DE5E85-B9BC-484A-B0F4-28FDFA27F7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9" authorId="0" shapeId="0" xr:uid="{8F568595-95F1-4B5B-9BC2-77C94AE23C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9" authorId="0" shapeId="0" xr:uid="{1F9F625A-E73E-4EBB-B9D1-532A41C559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9" authorId="0" shapeId="0" xr:uid="{C81C6034-E899-451E-BBFF-4967599E6C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9" authorId="0" shapeId="0" xr:uid="{F6B2F9BC-4DF1-46B3-9F90-48301CFB5F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9" authorId="0" shapeId="0" xr:uid="{7A8CDEF1-B4F3-453D-AF0C-14D8D113E4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B16967CA-2FF1-4304-9173-20A1DC2DEC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" authorId="0" shapeId="0" xr:uid="{961593BC-E110-4656-9569-DB8BE20C826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" authorId="0" shapeId="0" xr:uid="{7E0139D5-0C79-4568-B85B-7226E38599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" authorId="0" shapeId="0" xr:uid="{06D78D5C-FC90-49AA-AB78-5D2CE72228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" authorId="0" shapeId="0" xr:uid="{5A2910A3-3811-49AC-A34E-FE3FFB4C43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" authorId="0" shapeId="0" xr:uid="{840EDC62-7392-417D-AE06-A29270BEFA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" authorId="0" shapeId="0" xr:uid="{238ACB88-595C-4FC4-9C61-A7E688D5129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" authorId="0" shapeId="0" xr:uid="{0D6017C6-A58A-4DD9-9577-BB0D88C748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" authorId="0" shapeId="0" xr:uid="{EF5F78C3-F973-4DCB-AD85-CA477DA50A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" authorId="0" shapeId="0" xr:uid="{4C2C8B89-1372-495A-B46F-63585F4C51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" authorId="0" shapeId="0" xr:uid="{5066B9CF-0192-4B16-9594-99AF35825D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0" authorId="0" shapeId="0" xr:uid="{0B5C2CB8-33A5-4CEA-B84D-AB3D62CCFB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0" authorId="0" shapeId="0" xr:uid="{CEC74246-0B74-43A3-86B4-91CD299757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0" authorId="0" shapeId="0" xr:uid="{BFB26CF4-5FB0-4DE9-AFF5-B2170422C4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0" authorId="0" shapeId="0" xr:uid="{0D7A51C2-37DA-4F0F-A3D9-DC1F66BC31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0" authorId="0" shapeId="0" xr:uid="{069AFA00-509F-4DD2-94C0-2D6097CA72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03E0BAB2-FE5B-4AF7-9016-263BE3441C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" authorId="0" shapeId="0" xr:uid="{DD02CF17-9711-420F-8C69-E31F24E2C66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" authorId="0" shapeId="0" xr:uid="{05E466FE-B37B-4F3B-B79D-04AE255711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" authorId="0" shapeId="0" xr:uid="{BB8E038B-EA57-4CF0-AF04-4136878E94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" authorId="0" shapeId="0" xr:uid="{D6ED876D-47D1-4057-B908-AF7B3A552C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" authorId="0" shapeId="0" xr:uid="{D245036D-24B8-457B-83B2-C586323C58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" authorId="0" shapeId="0" xr:uid="{F5E918F8-3755-4718-B10A-B64D0785FC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" authorId="0" shapeId="0" xr:uid="{BEBA19E9-CB9C-4359-A42C-2D34D2BBC4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" authorId="0" shapeId="0" xr:uid="{0BA2B7EF-08DF-47C4-9694-6F527685AC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" authorId="0" shapeId="0" xr:uid="{4B6B4D05-A5F3-40C6-A90B-86A32C8794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1" authorId="0" shapeId="0" xr:uid="{694B2C7A-9D57-4FE3-B66C-D4D7923834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1" authorId="0" shapeId="0" xr:uid="{74014A99-CE46-482C-B7F8-1E038D82D1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1" authorId="0" shapeId="0" xr:uid="{75F3F091-E151-452D-8615-6C4CA87F2A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1" authorId="0" shapeId="0" xr:uid="{E6CA55AF-14DE-40F5-BE4B-DB2BAD36E6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1" authorId="0" shapeId="0" xr:uid="{41941CF3-E7A8-4242-B164-BA7F7AB9DCB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1" authorId="0" shapeId="0" xr:uid="{296AF022-627F-4B6F-9BB2-5710BD817D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AA2C65C3-7288-4936-A9C9-F0FBC529DE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2" authorId="0" shapeId="0" xr:uid="{3E69EB0D-43BF-4336-8700-25BA804102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2" authorId="0" shapeId="0" xr:uid="{DD59595B-D629-48A0-B05D-7D0533241B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2" authorId="0" shapeId="0" xr:uid="{6D77DAEF-3370-4255-A875-2540B2AEED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2" authorId="0" shapeId="0" xr:uid="{A6148C47-B716-4A3F-A0EA-CF7FE0FBEC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2" authorId="0" shapeId="0" xr:uid="{F3FE9E16-8BFA-4DFC-9EF4-9E4B5AB88C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2" authorId="0" shapeId="0" xr:uid="{FB37E69E-FCE4-4DE5-B880-B9CB334401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2" authorId="0" shapeId="0" xr:uid="{3B7C920D-9C53-421D-8FF2-AE1E134BBA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2" authorId="0" shapeId="0" xr:uid="{54B99FF1-E658-4525-959E-42D855E69C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2" authorId="0" shapeId="0" xr:uid="{521F1D54-5C06-41DD-B867-32614AC52C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2" authorId="0" shapeId="0" xr:uid="{8F444EC7-D134-4F7C-B596-75175B2E66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2" authorId="0" shapeId="0" xr:uid="{AA45E872-CC70-4604-A80F-D4A8998091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2" authorId="0" shapeId="0" xr:uid="{C140300A-3BB6-491C-A497-557ECF5852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2" authorId="0" shapeId="0" xr:uid="{61754B86-E2FA-4040-A143-2194EEE3DE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2" authorId="0" shapeId="0" xr:uid="{B3E9150D-BEB5-40E2-85B6-54655CC3C2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2" authorId="0" shapeId="0" xr:uid="{95D2FB7B-2AF8-4103-AB6E-966E0E8E30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3" authorId="0" shapeId="0" xr:uid="{29B289DC-C741-4EF6-A45B-65CB1F4C24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3" authorId="0" shapeId="0" xr:uid="{284C06F6-45D9-432A-8CA9-962B166DF6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3" authorId="0" shapeId="0" xr:uid="{E587FE38-0B08-4EB1-8F5B-1E62EB787B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3" authorId="0" shapeId="0" xr:uid="{249EDE54-2C55-4402-8983-A2EE1C4A8D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3" authorId="0" shapeId="0" xr:uid="{1D531366-2881-41B8-BFA4-DAB8733067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3" authorId="0" shapeId="0" xr:uid="{73213BEA-C537-4C06-AC1E-15BCA6DC07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3" authorId="0" shapeId="0" xr:uid="{459D6DA0-2FDF-4459-A13E-105915ACAB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3" authorId="0" shapeId="0" xr:uid="{207398BE-EA4D-49A9-81E9-1F66E1CE41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3" authorId="0" shapeId="0" xr:uid="{C2D195EC-8733-4290-AB5B-70BFF8643C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3" authorId="0" shapeId="0" xr:uid="{F2EEBDEA-110F-4A64-BBB1-6DE05F3E62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3" authorId="0" shapeId="0" xr:uid="{4F8FAC48-4336-47C2-BF15-12DB4D50CE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3" authorId="0" shapeId="0" xr:uid="{FC84C4EC-5973-4F7D-842A-C0B53EAAEE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3" authorId="0" shapeId="0" xr:uid="{6BE551D4-91E1-4CD1-8FD2-755E73284E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3" authorId="0" shapeId="0" xr:uid="{531B4116-065E-4149-BC47-B7E110264A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3" authorId="0" shapeId="0" xr:uid="{C10BE7FC-2369-4CDD-85A0-737DFFE537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3" authorId="0" shapeId="0" xr:uid="{4E3A0A24-BC61-45AB-A18A-F7C66CF10C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" authorId="0" shapeId="0" xr:uid="{860F9053-EB7C-4B15-981E-3BE210B536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4" authorId="0" shapeId="0" xr:uid="{C70E9944-2354-4BE3-8B51-7AF1D427E7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4" authorId="0" shapeId="0" xr:uid="{EF76C8A2-B900-437E-AE7C-B7B1AB4E9C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4" authorId="0" shapeId="0" xr:uid="{CCD6B4C0-CA9B-465D-A85F-5E0C133830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4" authorId="0" shapeId="0" xr:uid="{5365F56A-953C-4584-B321-B1291D43DE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4" authorId="0" shapeId="0" xr:uid="{864C8B35-AB0D-4895-AC56-85A96AE78B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4" authorId="0" shapeId="0" xr:uid="{78326ABC-DF27-47C1-95E0-7246D187F9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4" authorId="0" shapeId="0" xr:uid="{EA3A5C21-98E5-4A22-98FC-1BC93EE24C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4" authorId="0" shapeId="0" xr:uid="{D1943E99-DAC4-4C99-AA49-132E4FB806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4" authorId="0" shapeId="0" xr:uid="{2038DC82-5CE5-4BED-A11B-E6A2E6CBF4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4" authorId="0" shapeId="0" xr:uid="{2465AC5A-D9DF-4BF5-A4F5-E858EFBFCF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4" authorId="0" shapeId="0" xr:uid="{169A6AA5-898D-4D3F-8F3D-A856E77F20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4" authorId="0" shapeId="0" xr:uid="{5BCA114B-E739-4AD0-82A9-5E1B980E20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4" authorId="0" shapeId="0" xr:uid="{0897630E-1A50-4F11-B918-1CA90DC0E9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4" authorId="0" shapeId="0" xr:uid="{82D3E2C7-D199-494C-A040-D5F0A7C0CA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4" authorId="0" shapeId="0" xr:uid="{6EB67B39-6708-4452-9252-8E3733A2EB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" authorId="0" shapeId="0" xr:uid="{2D2B4E51-4B70-4D6C-B279-59A4F55E60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5" authorId="0" shapeId="0" xr:uid="{DAC03011-9D47-40BF-B2AD-7900A5E99F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5" authorId="0" shapeId="0" xr:uid="{03A6E892-06D0-4750-AEC5-C6388A568D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5" authorId="0" shapeId="0" xr:uid="{0A9707F2-E77A-4BFA-9EDA-E04747CF6A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5" authorId="0" shapeId="0" xr:uid="{DAAEF23E-5D4B-45CD-80CE-64670C9EFC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5" authorId="0" shapeId="0" xr:uid="{74811124-7CD7-4009-A4DC-F95C0C960F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5" authorId="0" shapeId="0" xr:uid="{7C231434-BACD-4129-AE40-C98A5B8F44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5" authorId="0" shapeId="0" xr:uid="{3644F46E-89B7-49B3-954E-DC478BA951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5" authorId="0" shapeId="0" xr:uid="{FAB19303-3CAC-4CD1-ACE9-B6ABDBABB7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5" authorId="0" shapeId="0" xr:uid="{FF81804E-2ABA-4A9D-B128-7AE72FB313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5" authorId="0" shapeId="0" xr:uid="{D4EEF5F9-7C20-4B1F-9094-C8D0523A0A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5" authorId="0" shapeId="0" xr:uid="{68A0C6D9-6FBB-4708-80BC-08F8D61428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5" authorId="0" shapeId="0" xr:uid="{7391C856-85BD-437B-9399-3FE2B7CBE1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5" authorId="0" shapeId="0" xr:uid="{758E310D-4F68-4671-87B4-7D4A2D5C99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5" authorId="0" shapeId="0" xr:uid="{CDC780DB-296C-4E18-A7FA-0C7C107BB7B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5" authorId="0" shapeId="0" xr:uid="{261A5DBE-578D-46AF-A3BB-C5A4521EC9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6" authorId="0" shapeId="0" xr:uid="{E2A4E6A2-01AD-4456-A66A-DA63DDC606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6" authorId="0" shapeId="0" xr:uid="{D480793F-237A-475C-A9D5-6BC0AFD027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6" authorId="0" shapeId="0" xr:uid="{3C6AEA0C-D47B-4291-BBD2-C408660636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6" authorId="0" shapeId="0" xr:uid="{6EEC9F37-DBC9-4313-BBE1-23077EE0DE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6" authorId="0" shapeId="0" xr:uid="{378008F0-BBCF-48E8-951A-2983C994F8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6" authorId="0" shapeId="0" xr:uid="{F1654AD2-7393-4859-9275-279AEAC8E4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6" authorId="0" shapeId="0" xr:uid="{6B6B5090-1303-4356-83EA-60E6487EA6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6" authorId="0" shapeId="0" xr:uid="{F469695D-3D29-4484-8CE4-EFBE7EB901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6" authorId="0" shapeId="0" xr:uid="{E5135337-5F5A-484A-97E6-FE28D7489E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6" authorId="0" shapeId="0" xr:uid="{B96E7C8B-8A3F-4F0A-B601-0AD263CA3C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6" authorId="0" shapeId="0" xr:uid="{8E39C2F2-17C9-494A-9A16-8D341AE375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6" authorId="0" shapeId="0" xr:uid="{E09B3FAF-05AE-4177-9E0A-AD4D97DDD9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6" authorId="0" shapeId="0" xr:uid="{A27BC576-61B5-4551-92A2-076C259515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6" authorId="0" shapeId="0" xr:uid="{22534D92-A87A-4AB3-8666-17F52540F2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6" authorId="0" shapeId="0" xr:uid="{A92F0EDC-4349-41DE-8C16-0ACD093B6CC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6" authorId="0" shapeId="0" xr:uid="{93EFCAAD-E333-4B6E-9559-6E515CBFDD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7" authorId="0" shapeId="0" xr:uid="{F33065D6-4F71-47E2-ACD2-0830B996E4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7" authorId="0" shapeId="0" xr:uid="{41E0A00A-FADB-4806-9D6F-42E6442765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7" authorId="0" shapeId="0" xr:uid="{9C65B7CD-030D-4DC9-9178-41197F0820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7" authorId="0" shapeId="0" xr:uid="{89EA5A00-4209-4352-828E-6F52BD56CE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7" authorId="0" shapeId="0" xr:uid="{56960734-2AA1-4FD9-A55C-9C4EA9211B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7" authorId="0" shapeId="0" xr:uid="{4884E6BC-1F64-42D4-B24B-368F67AB30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7" authorId="0" shapeId="0" xr:uid="{7F2E4B2E-98F6-489E-A099-975E2D3906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7" authorId="0" shapeId="0" xr:uid="{8B90D1CB-9815-4310-8303-C6912C4C91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7" authorId="0" shapeId="0" xr:uid="{126E22AC-45E1-4346-AD95-66806C2942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7" authorId="0" shapeId="0" xr:uid="{5FDBF200-2F73-4B12-BFBD-3137562607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7" authorId="0" shapeId="0" xr:uid="{5F519C05-C602-4E5E-A73E-4D58805055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7" authorId="0" shapeId="0" xr:uid="{914585D5-BD4F-4106-A230-8778D7510C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7" authorId="0" shapeId="0" xr:uid="{66F456EB-46F2-4178-BC09-33EC1D17FE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7" authorId="0" shapeId="0" xr:uid="{4F3D172D-CCD5-416A-8812-F981783481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7" authorId="0" shapeId="0" xr:uid="{1F469FA5-D7D9-4B6F-9ED6-AB1AAFAEF4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7" authorId="0" shapeId="0" xr:uid="{5EB78D6D-518F-442E-A07D-3E9FBB3E4B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8" authorId="0" shapeId="0" xr:uid="{5EC89653-7EC2-4745-8E11-954CEBF718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8" authorId="0" shapeId="0" xr:uid="{5677F987-D401-4395-ABFC-672E1E8988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8" authorId="0" shapeId="0" xr:uid="{F29032DB-B9BE-4FA6-8D62-7CA5C1FBA8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8" authorId="0" shapeId="0" xr:uid="{82875FD7-59EC-49AA-9E8C-A25F8D7275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8" authorId="0" shapeId="0" xr:uid="{C8603C1D-4754-4EC5-BF17-51ACA60DD0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8" authorId="0" shapeId="0" xr:uid="{EC34808A-B246-481D-864C-81ECB33238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8" authorId="0" shapeId="0" xr:uid="{B2A6C104-8326-45AC-A021-073B915B87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8" authorId="0" shapeId="0" xr:uid="{CBAC8421-445C-49F1-9594-943FFE19D4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8" authorId="0" shapeId="0" xr:uid="{3044BF0D-614A-4D0E-BC63-2BB35499CB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8" authorId="0" shapeId="0" xr:uid="{F540F73D-D750-4D31-9C6F-93CD1F8484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8" authorId="0" shapeId="0" xr:uid="{9FC6BC0B-84E0-4B55-A153-76268001589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8" authorId="0" shapeId="0" xr:uid="{EF632B97-1EDA-4F74-9AEC-DFB0C8EADA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8" authorId="0" shapeId="0" xr:uid="{FA53B1A1-9567-43A6-954B-55721C3FF2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8" authorId="0" shapeId="0" xr:uid="{A92E0EC1-B919-4D3E-801A-3DDE855BC7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8" authorId="0" shapeId="0" xr:uid="{088F51D3-386B-49EB-A539-117C561A2D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8" authorId="0" shapeId="0" xr:uid="{01115526-153B-4F37-952A-6ECB402533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9" authorId="0" shapeId="0" xr:uid="{E6536AA8-D7EF-47A1-9C75-FA73272210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9" authorId="0" shapeId="0" xr:uid="{25EF45D3-96CD-48AF-B1CE-454BF09F6B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9" authorId="0" shapeId="0" xr:uid="{68B396C1-284D-4B57-B157-2AAB36D03B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9" authorId="0" shapeId="0" xr:uid="{97312084-8431-4C52-95FA-E6068A4BA5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9" authorId="0" shapeId="0" xr:uid="{7E3595E5-3448-446F-A091-2E69DC188C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9" authorId="0" shapeId="0" xr:uid="{7CB8C358-77C5-4FDE-B28C-39F9417D75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9" authorId="0" shapeId="0" xr:uid="{4AA60475-369B-432E-964E-F581CEBC47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9" authorId="0" shapeId="0" xr:uid="{DDB50D54-94E7-45E3-B33F-E346CB7481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9" authorId="0" shapeId="0" xr:uid="{1100EE61-856B-4EE5-B34C-14389FB563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9" authorId="0" shapeId="0" xr:uid="{0CFEF047-827C-4895-8633-C96229BACA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9" authorId="0" shapeId="0" xr:uid="{6371F859-527E-4050-8859-7F995AECEB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9" authorId="0" shapeId="0" xr:uid="{CC433F86-F624-4FD7-8B65-9CADDFBB0C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9" authorId="0" shapeId="0" xr:uid="{80E5C3CA-6374-4AA6-8DE2-0F300C4303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9" authorId="0" shapeId="0" xr:uid="{2577B9C8-C55B-411E-A38F-F0F926FFDB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9" authorId="0" shapeId="0" xr:uid="{47659CDC-6518-47C6-8804-D702D360CE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9" authorId="0" shapeId="0" xr:uid="{3EDB6BAD-1399-4A44-8135-8861E19517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0" authorId="0" shapeId="0" xr:uid="{CEFC6931-06B3-4D06-92D2-964480CCE7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20" authorId="0" shapeId="0" xr:uid="{39C76860-7E30-409D-9C00-574292D969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20" authorId="0" shapeId="0" xr:uid="{642F1D6C-B921-4B4A-8530-F171A99C81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20" authorId="0" shapeId="0" xr:uid="{5A8CD015-3C05-4280-AC4E-1F0D771B94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20" authorId="0" shapeId="0" xr:uid="{F8589F74-78B3-4750-893B-EBE9634F6D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20" authorId="0" shapeId="0" xr:uid="{D36FF8F3-6C5F-4C3D-AE05-DDC0DFADFC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20" authorId="0" shapeId="0" xr:uid="{C7442D1A-13DB-48BD-8099-54788F0377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20" authorId="0" shapeId="0" xr:uid="{77C2FBDB-D0F6-4D7E-BC8F-6251F1B5A8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20" authorId="0" shapeId="0" xr:uid="{766F9A13-C3C7-4C7D-A2E9-7562AA8BCA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20" authorId="0" shapeId="0" xr:uid="{661DAFA5-FB34-4620-8964-CA346FB549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20" authorId="0" shapeId="0" xr:uid="{0CB39CCE-CA6D-4B19-BC4E-E24DE76F8CE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20" authorId="0" shapeId="0" xr:uid="{EAA85C25-CF3B-4751-9A54-78A9502CCD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20" authorId="0" shapeId="0" xr:uid="{0BA9DAFE-EC4F-4665-B077-2E487744FE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20" authorId="0" shapeId="0" xr:uid="{4C73FBBE-A095-408B-8254-66897276C7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20" authorId="0" shapeId="0" xr:uid="{AAECEDFD-73B6-471B-A1B7-3CA08ACCD3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20" authorId="0" shapeId="0" xr:uid="{8A8477E1-E3D7-4DAF-AC4D-21139E5E22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1" authorId="0" shapeId="0" xr:uid="{001A9357-0661-453F-A3F6-043CA9EFA0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1" authorId="0" shapeId="0" xr:uid="{541654F9-FFDE-4F3A-BCE2-11B29E86DF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1" authorId="0" shapeId="0" xr:uid="{E0900972-5F96-4251-965B-14080AE61F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1" authorId="0" shapeId="0" xr:uid="{36191164-DA35-43FD-BB2F-94D3EF573D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1" authorId="0" shapeId="0" xr:uid="{A0BE9B09-37FB-403C-A60A-5E3A0D547D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1" authorId="0" shapeId="0" xr:uid="{13440E0E-3363-4ECE-BA42-7FF79BD7B2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1" authorId="0" shapeId="0" xr:uid="{AB57DC75-9B3C-46EF-A2D4-B284F15003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1" authorId="0" shapeId="0" xr:uid="{71A1F288-8F58-4526-A441-DC01F206E7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1" authorId="0" shapeId="0" xr:uid="{3AD43972-E644-46D2-8121-10EEBB3CE6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1" authorId="0" shapeId="0" xr:uid="{8FAEBE1B-9AB4-407E-96DC-96DD94E67B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1" authorId="0" shapeId="0" xr:uid="{C1A301E8-59E1-4EB0-A4CD-0156B9CDD1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1" authorId="0" shapeId="0" xr:uid="{9061E867-6709-4F7F-BCBE-FEC72AFDEC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1" authorId="0" shapeId="0" xr:uid="{8A307748-199F-4D2E-AEF6-E9377DFE40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1" authorId="0" shapeId="0" xr:uid="{FA92EC71-6219-4470-B450-8741D7C962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1" authorId="0" shapeId="0" xr:uid="{BCF79880-7F9E-4361-8C32-3A548796BE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1" authorId="0" shapeId="0" xr:uid="{F902F0AC-5CEB-4C5E-A66C-A30DD0E369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2" authorId="0" shapeId="0" xr:uid="{8B08BF0E-0C49-4F44-8D0D-01B30C5CAD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2" authorId="0" shapeId="0" xr:uid="{97C101B7-B0FA-4C1F-8892-090F7AC9C0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2" authorId="0" shapeId="0" xr:uid="{4C4C98D8-CA1D-4814-8C0D-2B74CE299A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2" authorId="0" shapeId="0" xr:uid="{E4D404C7-371A-4A05-9EED-21793D2D4C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2" authorId="0" shapeId="0" xr:uid="{CD28914F-53DB-4448-8DD7-3556CF04C6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2" authorId="0" shapeId="0" xr:uid="{B51202F7-667D-4912-8474-9B7AA83837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2" authorId="0" shapeId="0" xr:uid="{76FF93D5-F11D-4330-87B6-25509CD653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2" authorId="0" shapeId="0" xr:uid="{406550E4-2FB4-49D4-A614-F099696185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2" authorId="0" shapeId="0" xr:uid="{B620C1E7-E68F-4629-886C-F48785785A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2" authorId="0" shapeId="0" xr:uid="{785A27FB-0CCD-4007-A8B8-AC3BA45D5D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2" authorId="0" shapeId="0" xr:uid="{FAD5AE6D-5968-412A-BED9-D8D22C49F7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2" authorId="0" shapeId="0" xr:uid="{119B0091-FE7A-4154-9286-1C8C2810C5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2" authorId="0" shapeId="0" xr:uid="{301F2055-A975-43A6-9E04-E65F4877AF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2" authorId="0" shapeId="0" xr:uid="{AA5B9E8A-A16C-43A4-A40E-D9A3C44227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2" authorId="0" shapeId="0" xr:uid="{2A7AB486-51EB-4269-A776-E90A3EE23D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2" authorId="0" shapeId="0" xr:uid="{DA6054A0-48CB-4989-9B44-9A2501D312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3" authorId="0" shapeId="0" xr:uid="{77A10EBC-A5CE-463B-A354-C6D93EC6C7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3" authorId="0" shapeId="0" xr:uid="{64B58DEA-E13B-498A-915A-37AEAC0839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3" authorId="0" shapeId="0" xr:uid="{BD22F9A5-9A2C-41F4-B66B-665E13BF7C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3" authorId="0" shapeId="0" xr:uid="{2AAE1F7D-8E0A-4702-86FD-483D736CA0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3" authorId="0" shapeId="0" xr:uid="{4D4DF048-669E-4F94-8F8C-8094C5000D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3" authorId="0" shapeId="0" xr:uid="{C4D8C5AF-5E5C-470C-B22F-9CE347F912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3" authorId="0" shapeId="0" xr:uid="{236B5262-C824-4AA3-B9D4-FC0C88B634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3" authorId="0" shapeId="0" xr:uid="{765DF4D9-C576-4208-9AE7-F1380AD919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3" authorId="0" shapeId="0" xr:uid="{23D86CDA-5239-401D-8925-2F2D5431C0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3" authorId="0" shapeId="0" xr:uid="{06AEDF35-EE97-400C-A80E-4DC1398CE2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3" authorId="0" shapeId="0" xr:uid="{784BC968-36A4-4246-B9D7-9E17422918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3" authorId="0" shapeId="0" xr:uid="{36E832A8-24EF-4E52-AE3F-2BB055B338C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3" authorId="0" shapeId="0" xr:uid="{AA34ED1B-3E52-4D6B-8C62-C9E1D7041C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3" authorId="0" shapeId="0" xr:uid="{57E1292B-B212-4225-9925-D00FC66159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3" authorId="0" shapeId="0" xr:uid="{1A1D1F07-5110-4A4A-B2C1-FC47006417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3" authorId="0" shapeId="0" xr:uid="{CF87E5F9-07CE-4795-A5F5-6CE4526936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4" authorId="0" shapeId="0" xr:uid="{5730B4B1-E565-46C2-A05F-69B87A0917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4" authorId="0" shapeId="0" xr:uid="{F5B75A29-1EB7-45E3-BE4B-2F75CE3E9C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4" authorId="0" shapeId="0" xr:uid="{A24120AF-D007-4A25-8333-1657020C58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4" authorId="0" shapeId="0" xr:uid="{192993A0-A000-419B-B3B9-676BE58F51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4" authorId="0" shapeId="0" xr:uid="{AEFEAC60-270F-4643-A006-CC63D37AF1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4" authorId="0" shapeId="0" xr:uid="{A59E637D-DE86-4BF3-9C5A-C9BD84D818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4" authorId="0" shapeId="0" xr:uid="{FC82E98E-5E39-4D33-A0D0-45DDDED53B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4" authorId="0" shapeId="0" xr:uid="{CB861EDF-8764-416B-B1DF-BBCA13D6FC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4" authorId="0" shapeId="0" xr:uid="{1FB5CF96-B92D-4B5B-A3EF-F2AFEDE2D2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4" authorId="0" shapeId="0" xr:uid="{84B75C2C-674F-4E97-9CE3-870DFF1863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4" authorId="0" shapeId="0" xr:uid="{7238BF85-928D-4E15-A867-CBC46A9555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4" authorId="0" shapeId="0" xr:uid="{F9CACE2A-3671-49AA-8DA0-7048F99227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4" authorId="0" shapeId="0" xr:uid="{AE55FD50-79BD-4729-AC1C-28C2821A2D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4" authorId="0" shapeId="0" xr:uid="{8A06289B-99AE-49CC-A578-08B60B6487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4" authorId="0" shapeId="0" xr:uid="{5AAA1C6D-DDB9-4DD6-8430-E37EC51C22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4" authorId="0" shapeId="0" xr:uid="{16556213-FB90-41C6-AA16-9B7F120BC1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5" authorId="0" shapeId="0" xr:uid="{F18873E5-5849-45D5-8DDA-F7D018F906A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5" authorId="0" shapeId="0" xr:uid="{D8E52AF1-3470-4C32-8BD3-AB60FB9609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5" authorId="0" shapeId="0" xr:uid="{F5CAD9A6-9002-4C47-9209-BB9FB1EF88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5" authorId="0" shapeId="0" xr:uid="{AAD36ED7-123E-42DA-9A37-3CA92822EA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5" authorId="0" shapeId="0" xr:uid="{30426EC5-D0D7-4152-BDC6-35969E980D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5" authorId="0" shapeId="0" xr:uid="{3CF207AE-FA5E-4AC4-8894-B9D7C32305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5" authorId="0" shapeId="0" xr:uid="{402991E9-4FE0-4B2B-A40F-45F0FE4DD6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5" authorId="0" shapeId="0" xr:uid="{172ED297-0453-4974-8252-E3A18C12F3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5" authorId="0" shapeId="0" xr:uid="{25D335C2-45E5-472B-94B0-A6193882EB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5" authorId="0" shapeId="0" xr:uid="{69FDC9C0-A906-48E8-B2AA-2D74A26CC4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5" authorId="0" shapeId="0" xr:uid="{90B1A3FB-281C-418E-848C-EBE4CA31FD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5" authorId="0" shapeId="0" xr:uid="{5653805D-4B52-47FC-BB4C-4FB926E862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5" authorId="0" shapeId="0" xr:uid="{396C8F45-71A4-4E4D-88CD-D021331B52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5" authorId="0" shapeId="0" xr:uid="{6031E215-802D-4B13-84BD-A1897516CE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5" authorId="0" shapeId="0" xr:uid="{821444DC-7983-46FF-8FFF-95ADC0E2C8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5" authorId="0" shapeId="0" xr:uid="{A2C22925-CF7B-4A98-A9E0-DF42A5D83F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8" authorId="0" shapeId="0" xr:uid="{B200142C-EB7B-454F-921B-182736E121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8" authorId="0" shapeId="0" xr:uid="{DD4F1CF1-2641-42D1-980E-318B1446A4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8" authorId="0" shapeId="0" xr:uid="{D484412A-2366-4434-8B31-C5B25872F4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8" authorId="0" shapeId="0" xr:uid="{35DB23F8-DD05-4277-8A66-EA37146237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8" authorId="0" shapeId="0" xr:uid="{DB632CAB-D0DF-4241-9F50-9A4F8A2C8F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8" authorId="0" shapeId="0" xr:uid="{E81A3397-F524-40B7-960E-BBF24F6B0D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8" authorId="0" shapeId="0" xr:uid="{CBDEB34F-63CB-40C7-82CA-1E568E2167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8" authorId="0" shapeId="0" xr:uid="{D7DB7DE7-6577-461A-B77B-D8AED2A879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8" authorId="0" shapeId="0" xr:uid="{71447555-C46F-4EB7-BD26-D3DF8B4E3E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8" authorId="0" shapeId="0" xr:uid="{3EBDDC05-D6DD-4D79-8FA4-4D18E924B6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8" authorId="0" shapeId="0" xr:uid="{DB7EA19F-889E-4BB6-AC1F-F6AA0F5614F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8" authorId="0" shapeId="0" xr:uid="{52CAF25D-D1C4-4B74-BB98-52A4C802F8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8" authorId="0" shapeId="0" xr:uid="{836A412D-2315-41B5-9D2A-BE7C035632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8" authorId="0" shapeId="0" xr:uid="{52919073-0C67-49CB-ACC9-5E0E166AF5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8" authorId="0" shapeId="0" xr:uid="{B7FAA0FE-2F56-45BC-94AA-C7A562A437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8" authorId="0" shapeId="0" xr:uid="{475F22EC-088E-43AA-947E-E1B47299FD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9" authorId="0" shapeId="0" xr:uid="{2AB238D7-4C60-4E2E-ADC7-2F640EDB23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29" authorId="0" shapeId="0" xr:uid="{7C0112C0-379C-4DE3-874D-D963060F41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29" authorId="0" shapeId="0" xr:uid="{A9165CCC-C155-4D54-9EDA-3DB90A0D88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29" authorId="0" shapeId="0" xr:uid="{EF7C3B4B-15B8-42F5-80BF-7FE816BC8A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29" authorId="0" shapeId="0" xr:uid="{5EE43173-889B-42C1-AED8-5D39FA2370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29" authorId="0" shapeId="0" xr:uid="{B5006DC1-23C8-4E9F-AF73-ED927C31C7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29" authorId="0" shapeId="0" xr:uid="{6B2E8070-D18A-44F1-98E0-2E905C8392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29" authorId="0" shapeId="0" xr:uid="{2B2995DB-8B04-4AFB-9F6A-70057C8055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29" authorId="0" shapeId="0" xr:uid="{ACAC0140-9102-4894-A5A4-2EB054D47F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29" authorId="0" shapeId="0" xr:uid="{AA26D978-910C-4A0B-815D-17609AF521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29" authorId="0" shapeId="0" xr:uid="{423704B7-25BD-48CF-B56D-A725D3B15E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29" authorId="0" shapeId="0" xr:uid="{1C2CFDAD-522E-46A4-9EA8-2AF46A9A7F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29" authorId="0" shapeId="0" xr:uid="{10AE9C36-F154-4365-8A25-DB28084177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29" authorId="0" shapeId="0" xr:uid="{42536679-CC4C-4815-BB7C-D8C25BE74C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29" authorId="0" shapeId="0" xr:uid="{AF3F196D-01A2-4A42-A28C-7C5F7F9F3D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29" authorId="0" shapeId="0" xr:uid="{75BBEEA7-ADBB-49DC-9AC2-BB5789D75A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0" authorId="0" shapeId="0" xr:uid="{7B74573C-B950-4A77-B1D6-7B884F2C79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0" authorId="0" shapeId="0" xr:uid="{AF5A20B6-5E5A-4B22-A365-D0376B2B9F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0" authorId="0" shapeId="0" xr:uid="{63E172B0-FF93-42E0-BDF2-67FC136275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0" authorId="0" shapeId="0" xr:uid="{821CC024-6076-42D1-983C-795AD42D39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0" authorId="0" shapeId="0" xr:uid="{3B4E574B-2F20-4ECC-A1F0-25014A8FCC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0" authorId="0" shapeId="0" xr:uid="{A61D65CC-246B-47AE-86BC-ABAE7A0C9B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0" authorId="0" shapeId="0" xr:uid="{313F75F9-DC1A-4197-96B1-53C95C0A76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0" authorId="0" shapeId="0" xr:uid="{634DB21F-000C-4692-AC7D-6BE5C0B9EC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0" authorId="0" shapeId="0" xr:uid="{593290AD-E9CC-4334-9CDE-12287EBB73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0" authorId="0" shapeId="0" xr:uid="{D0997DFD-5458-4EA7-A580-B1C47B674F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0" authorId="0" shapeId="0" xr:uid="{3728F0CF-28D9-4402-AFEA-A6003D5DA5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0" authorId="0" shapeId="0" xr:uid="{E6A70E82-C0A7-4FC3-A5C7-991BA24B17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0" authorId="0" shapeId="0" xr:uid="{F245E618-2CF1-4500-92B7-91156CC575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0" authorId="0" shapeId="0" xr:uid="{010A4F4D-5D23-4EF7-9B47-9A33F4E65D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0" authorId="0" shapeId="0" xr:uid="{07BA352A-598C-4A64-A997-B050EAB1F6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0" authorId="0" shapeId="0" xr:uid="{0BEBD392-696E-4A6E-84E1-2E2BB2FE00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1" authorId="0" shapeId="0" xr:uid="{67981FAB-D705-4532-925C-6E35075203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1" authorId="0" shapeId="0" xr:uid="{CEBEBAFC-4955-48F0-9A77-BE58688C2A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1" authorId="0" shapeId="0" xr:uid="{272A317C-EFD0-4675-8AB6-795629AE68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1" authorId="0" shapeId="0" xr:uid="{C1E890B1-2BD1-4C8E-A5BA-DADFB2073F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1" authorId="0" shapeId="0" xr:uid="{1D9D773C-719C-4FD4-84F0-579BC40A57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1" authorId="0" shapeId="0" xr:uid="{AC227316-4513-49D1-9997-FA108EBF7C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1" authorId="0" shapeId="0" xr:uid="{E86D39A9-BF86-4BAC-BB54-10B0B89985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1" authorId="0" shapeId="0" xr:uid="{BE087F65-CB80-4FD4-AB63-8F1D79F993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1" authorId="0" shapeId="0" xr:uid="{DA807D01-471C-46A8-B173-E9C401287A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1" authorId="0" shapeId="0" xr:uid="{9C1DEF31-EADC-4737-B0EF-8A8D28111D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1" authorId="0" shapeId="0" xr:uid="{96830682-59A2-40A4-992D-2049363A6B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1" authorId="0" shapeId="0" xr:uid="{D60310F6-3EAB-44FB-BC83-E3CF2DFAB1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1" authorId="0" shapeId="0" xr:uid="{6D400AA0-724E-474F-AD32-275C6F13A3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1" authorId="0" shapeId="0" xr:uid="{A4C9E9D3-B197-4203-8088-60697992A5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1" authorId="0" shapeId="0" xr:uid="{0EFD4EDF-125F-4BA0-B78D-026488BB2F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1" authorId="0" shapeId="0" xr:uid="{48D9D0A8-F1F6-47C8-9FAD-1ED4A2E46A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2" authorId="0" shapeId="0" xr:uid="{D8CA5BF1-A8FE-4BC5-A20C-59C0DFA8D2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2" authorId="0" shapeId="0" xr:uid="{DC6AF38C-1B46-458D-AEC3-DC48B53898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2" authorId="0" shapeId="0" xr:uid="{256819F9-B696-4FFE-B992-B31E1E4F66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2" authorId="0" shapeId="0" xr:uid="{0C02DA0C-2191-4D03-9F4A-5AE03A006B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2" authorId="0" shapeId="0" xr:uid="{06F3DA85-4C9A-4EFE-B406-6FF867A651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2" authorId="0" shapeId="0" xr:uid="{ACB96B5B-F0A4-4750-80BF-1B0E893FFF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2" authorId="0" shapeId="0" xr:uid="{209A81C2-4985-4ABA-B597-97BD7F06FCA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2" authorId="0" shapeId="0" xr:uid="{5D19F56B-9717-49FC-822E-9198530501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2" authorId="0" shapeId="0" xr:uid="{5172EE8B-82AE-4A8B-B3E9-261B22FB0C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2" authorId="0" shapeId="0" xr:uid="{036F209E-558B-44BC-ACD5-FE21851467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2" authorId="0" shapeId="0" xr:uid="{8DD6C9F2-66E5-4794-99B2-8E518C1E58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32" authorId="0" shapeId="0" xr:uid="{4268407F-6EF4-438C-AC23-C6F3A179D9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2" authorId="0" shapeId="0" xr:uid="{E5627D26-52A1-43E3-91E9-404BF07B92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32" authorId="0" shapeId="0" xr:uid="{889732DC-CD45-4A0C-80CE-EF3E6BAD67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32" authorId="0" shapeId="0" xr:uid="{7D039FA5-CCFC-40D7-A384-0327FF42D2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32" authorId="0" shapeId="0" xr:uid="{CB5A5083-9A4A-4E45-BE4C-37619C5F62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3" authorId="0" shapeId="0" xr:uid="{F88188A0-1E79-4CBA-972A-35C9C3C311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3" authorId="0" shapeId="0" xr:uid="{65E119BB-697D-4D80-9066-23A3491C78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3" authorId="0" shapeId="0" xr:uid="{A5AD92E5-F17A-4E32-A685-3F510CD53E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3" authorId="0" shapeId="0" xr:uid="{1B46F859-73FC-4633-8FBB-3EA687BB1E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3" authorId="0" shapeId="0" xr:uid="{89EB6E47-3766-4BB1-B432-F9E4FCA2BC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3" authorId="0" shapeId="0" xr:uid="{E65D7DFF-F6D5-4A10-88D3-E08D87CF7E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3" authorId="0" shapeId="0" xr:uid="{89F71F86-0AB3-4097-85FA-07BB9BFDCF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3" authorId="0" shapeId="0" xr:uid="{D79990B6-5FE2-4050-9745-3A906C29E1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3" authorId="0" shapeId="0" xr:uid="{4DFA9371-22F8-451E-A750-70BDB67D65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3" authorId="0" shapeId="0" xr:uid="{936D19F6-06DE-4C34-BFD6-6A66860399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3" authorId="0" shapeId="0" xr:uid="{7B342864-6B90-4832-8351-E5B8B6AE3C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33" authorId="0" shapeId="0" xr:uid="{DD856CB2-E666-48E4-A17A-29C9AC433B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3" authorId="0" shapeId="0" xr:uid="{EA2DB9FF-4856-42EB-B8CC-45993EE531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33" authorId="0" shapeId="0" xr:uid="{145BBD99-0BD4-4567-87EC-83215C2ED0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33" authorId="0" shapeId="0" xr:uid="{41E6BFFB-0771-47B8-B0A6-586C776B6D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33" authorId="0" shapeId="0" xr:uid="{3F15CC59-3F9D-49EE-83D3-54276CCE9DB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4" authorId="0" shapeId="0" xr:uid="{4C8A7290-E86B-4EE8-A381-12F7A3FB00F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4" authorId="0" shapeId="0" xr:uid="{F083DD85-3D33-4B37-8107-3DE805A1FD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4" authorId="0" shapeId="0" xr:uid="{030562C2-9637-47E9-8D6B-7E4C1FEB5D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4" authorId="0" shapeId="0" xr:uid="{BF42795E-FA62-46B4-84B9-7987FD3B20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4" authorId="0" shapeId="0" xr:uid="{D601B1F2-B9E1-45CC-AA78-76D20512F6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4" authorId="0" shapeId="0" xr:uid="{AD167EEE-1DFB-4242-9EB5-0518DFBC54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4" authorId="0" shapeId="0" xr:uid="{DE025FFC-3118-409A-B2DB-61722C8C7B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4" authorId="0" shapeId="0" xr:uid="{3B018A0E-1A7A-4188-A3CB-E6FD7068CC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4" authorId="0" shapeId="0" xr:uid="{B99DB918-9A52-4775-8D27-A4D057C8B0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4" authorId="0" shapeId="0" xr:uid="{F36D6067-6998-4802-BFA8-0118005E6D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4" authorId="0" shapeId="0" xr:uid="{B90B116B-BCC5-4682-BAA4-5DB8B89F53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34" authorId="0" shapeId="0" xr:uid="{F3921A8C-FCF3-487E-970C-2A0DBB770F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34" authorId="0" shapeId="0" xr:uid="{FA1D45A5-8EAD-4B26-823E-CB722C8C75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34" authorId="0" shapeId="0" xr:uid="{AC02FF6A-FC06-4EEF-8892-9AA5E87BED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34" authorId="0" shapeId="0" xr:uid="{4B49F2F8-FDBF-41F8-98CE-6E178F2B3E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34" authorId="0" shapeId="0" xr:uid="{3150658C-63C7-42B0-9765-CA2217B40F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5" authorId="0" shapeId="0" xr:uid="{8FADFA3E-BF94-411F-8AC7-615A9EF0D6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5" authorId="0" shapeId="0" xr:uid="{C40E966A-B944-4176-BF50-7951AD792E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5" authorId="0" shapeId="0" xr:uid="{32D92940-8FCA-4618-B07F-C126EED1F5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5" authorId="0" shapeId="0" xr:uid="{2975C5FF-74A2-4BE5-8D36-86021244F1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5" authorId="0" shapeId="0" xr:uid="{4839CF94-1129-4DCD-B07C-36746FCB6F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5" authorId="0" shapeId="0" xr:uid="{7BE283AA-CF2C-488F-82A7-83E7FD03FA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5" authorId="0" shapeId="0" xr:uid="{66869694-FACC-4773-89A4-64BBD54763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5" authorId="0" shapeId="0" xr:uid="{E97A6C74-6CFC-4194-8EA3-E7E35EB202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5" authorId="0" shapeId="0" xr:uid="{9C197A04-45FD-47EC-A71E-B7CCAA318A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5" authorId="0" shapeId="0" xr:uid="{EDA576FC-23A1-4632-BBDC-5E2A408C76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5" authorId="0" shapeId="0" xr:uid="{76FF65C5-37CA-42B6-B771-9CCDF6E1EC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5" authorId="0" shapeId="0" xr:uid="{DC70F0CF-7A0E-4CAF-9DAD-2054BCFA14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5" authorId="0" shapeId="0" xr:uid="{576A3B26-6938-49C8-98F4-35622F4AB4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5" authorId="0" shapeId="0" xr:uid="{6A7CAA38-8620-4DF8-AA07-0CF686F9FA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5" authorId="0" shapeId="0" xr:uid="{6CD5E90A-C1BE-4CEB-BF57-6A1B3D6C72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5" authorId="0" shapeId="0" xr:uid="{F1550E0E-6E50-465C-9D1C-495A455988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6" authorId="0" shapeId="0" xr:uid="{B66DB340-3954-4293-B4F1-E0AD43A80D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6" authorId="0" shapeId="0" xr:uid="{2B0EC548-996B-4A7E-9CD2-17E96D98D9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6" authorId="0" shapeId="0" xr:uid="{92C0F3A5-3387-43B4-B90F-458DA76AD5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6" authorId="0" shapeId="0" xr:uid="{14D4B785-0952-478B-A3D8-0640F034A2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6" authorId="0" shapeId="0" xr:uid="{7775CFBD-CB6B-43DF-98AA-89C2DAA99B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6" authorId="0" shapeId="0" xr:uid="{64DC51EF-9D43-4906-B7EC-552A22D87B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6" authorId="0" shapeId="0" xr:uid="{B2CAC04C-0E18-4FFB-AA81-3B14FAB3CB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6" authorId="0" shapeId="0" xr:uid="{050B8CEC-2283-43EF-AFFE-5D0FBC95DC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6" authorId="0" shapeId="0" xr:uid="{265F0051-E3F1-42F8-9CD3-2BA5C23B4E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6" authorId="0" shapeId="0" xr:uid="{AE289775-F876-4AD1-9E17-E9DB8510BE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6" authorId="0" shapeId="0" xr:uid="{C9F44A6D-149B-4EBE-AD73-0CF66B3E5D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6" authorId="0" shapeId="0" xr:uid="{99B58000-171E-4BFF-890C-80C0FD2ED8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6" authorId="0" shapeId="0" xr:uid="{8CA2E965-A226-4E13-951F-2E922363ED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6" authorId="0" shapeId="0" xr:uid="{BDBFD26F-49B5-4DAA-9E4C-D8F27AD334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6" authorId="0" shapeId="0" xr:uid="{EAD051E0-B6F6-4F80-94BA-D56D8A4DE8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6" authorId="0" shapeId="0" xr:uid="{9754081A-4A8D-478C-B1CA-E25424F05F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7" authorId="0" shapeId="0" xr:uid="{F7BE3150-D009-4619-81CE-F44501616D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7" authorId="0" shapeId="0" xr:uid="{D5C8E19D-671E-4840-A929-A0863B313C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7" authorId="0" shapeId="0" xr:uid="{D38691CC-70EA-417D-9D36-3CFBD33F99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7" authorId="0" shapeId="0" xr:uid="{BDEF878D-2ECD-4DAE-94EF-72F3C3597F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7" authorId="0" shapeId="0" xr:uid="{F3BEFAA7-3147-41C1-8684-BF29B54C65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7" authorId="0" shapeId="0" xr:uid="{99074B7B-D901-4305-A66D-6A9B0E4C75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7" authorId="0" shapeId="0" xr:uid="{F65F8D65-8929-4548-AB2E-04DBEA1C0D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7" authorId="0" shapeId="0" xr:uid="{2EE8CE62-0C9A-4705-B84C-36AFD71072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7" authorId="0" shapeId="0" xr:uid="{4E10B069-747F-4898-AA25-C684DD0AFE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7" authorId="0" shapeId="0" xr:uid="{5982DDE7-9E3F-4D0A-9922-6556348474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7" authorId="0" shapeId="0" xr:uid="{90E15BD1-4546-4AA0-AA55-1A8F0D7F9E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7" authorId="0" shapeId="0" xr:uid="{42044DB3-1F08-459C-904F-B1FC6EDB89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7" authorId="0" shapeId="0" xr:uid="{B2C7680C-5344-4DC2-90C2-D61E24B443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7" authorId="0" shapeId="0" xr:uid="{31788187-1D6D-4CEF-A327-F2E98404BF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7" authorId="0" shapeId="0" xr:uid="{E72F039E-ED91-4F93-972B-5AE837CB0C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7" authorId="0" shapeId="0" xr:uid="{C8796232-64C6-4DEF-9102-370C436441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8" authorId="0" shapeId="0" xr:uid="{E146B070-0F66-45FD-B26A-458C3215FE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8" authorId="0" shapeId="0" xr:uid="{1DB56A04-811D-41EA-A85A-9493064175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8" authorId="0" shapeId="0" xr:uid="{3140B9D5-25B4-4547-8239-777585CC61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8" authorId="0" shapeId="0" xr:uid="{C10299F8-1310-4479-9C41-B295343C17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8" authorId="0" shapeId="0" xr:uid="{478A4A90-87E7-405D-B554-C43C5D1322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8" authorId="0" shapeId="0" xr:uid="{27E5331A-297A-47B8-BA8B-8DBAAC1FE6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8" authorId="0" shapeId="0" xr:uid="{C23E2383-1FFB-44E0-98AB-E6AB2661A2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8" authorId="0" shapeId="0" xr:uid="{7B94E56A-085F-4ADE-984E-854808EA5F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8" authorId="0" shapeId="0" xr:uid="{8660C9AB-6A7E-4F53-883B-B7E9DD17C2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8" authorId="0" shapeId="0" xr:uid="{448E765F-0CEA-45F7-87C9-4EF44B4325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8" authorId="0" shapeId="0" xr:uid="{6F1ABE9F-AE96-4546-9BA4-C8A283E503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8" authorId="0" shapeId="0" xr:uid="{6708DDE6-AE44-47D3-A6B1-4528CF42ED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8" authorId="0" shapeId="0" xr:uid="{2BA099BF-39D3-46CB-BDC4-631A59A541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8" authorId="0" shapeId="0" xr:uid="{CFEFA744-2B5C-481B-9957-BE6939738E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8" authorId="0" shapeId="0" xr:uid="{94B07862-497C-43E8-8D8A-F195905A41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8" authorId="0" shapeId="0" xr:uid="{60710F99-25A3-40F7-84AF-2F63BF55EE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9" authorId="0" shapeId="0" xr:uid="{2FD0CA69-B1EA-4E21-BC59-18219FB699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39" authorId="0" shapeId="0" xr:uid="{B6C915CC-0964-4124-8C77-38A6B8B362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39" authorId="0" shapeId="0" xr:uid="{F2DE4402-1C1A-4BFF-8213-323753F4CB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39" authorId="0" shapeId="0" xr:uid="{09794560-3422-40F2-8F93-FA8E3B4CA8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39" authorId="0" shapeId="0" xr:uid="{3A3D2FF8-DE91-44FD-8CF8-E0577EA6B2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39" authorId="0" shapeId="0" xr:uid="{34DA6EA2-772A-40CE-A31E-B685D5711F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39" authorId="0" shapeId="0" xr:uid="{6111BD5D-B985-4C6B-82B9-C3213D9F95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39" authorId="0" shapeId="0" xr:uid="{79CCF444-40D1-4A69-9B58-7A8F8AC615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39" authorId="0" shapeId="0" xr:uid="{17DF620C-20CE-4BF3-8A09-DE65DBA377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39" authorId="0" shapeId="0" xr:uid="{04963914-A36B-4FC4-98B7-F6A2960B84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39" authorId="0" shapeId="0" xr:uid="{396C491A-35FD-4233-8918-3D5F8DB816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39" authorId="0" shapeId="0" xr:uid="{2148428E-214B-4AA1-B4E9-791724DB9D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39" authorId="0" shapeId="0" xr:uid="{7596A3C9-3D07-448F-BE88-A5E1E9AC7D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39" authorId="0" shapeId="0" xr:uid="{DB91D31E-95C5-48CF-9C39-4A77707603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39" authorId="0" shapeId="0" xr:uid="{B60D3C4D-73A0-40BF-AD96-EEF6275680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39" authorId="0" shapeId="0" xr:uid="{BCD8A156-3D4D-4A7F-8382-732771D3C8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0" authorId="0" shapeId="0" xr:uid="{B08EE049-B0AF-4A15-A906-F8DEAC4362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0" authorId="0" shapeId="0" xr:uid="{AE82B176-C3A9-4CE4-8905-4AB25329E7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0" authorId="0" shapeId="0" xr:uid="{5ED4890D-81AE-4C97-A37A-3280A164F5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0" authorId="0" shapeId="0" xr:uid="{C595D0D3-13A4-4139-B2E9-EAF245CE1A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0" authorId="0" shapeId="0" xr:uid="{E30938F6-B1FB-4B48-B95C-8CD2FE27365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0" authorId="0" shapeId="0" xr:uid="{6600599F-2310-4F66-A551-CCC148612A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40" authorId="0" shapeId="0" xr:uid="{8A9C9E88-2C2F-454F-91B5-FB8BA63F71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40" authorId="0" shapeId="0" xr:uid="{FDA0086D-2E2D-40D8-8413-667B71FB46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40" authorId="0" shapeId="0" xr:uid="{9723A357-5D9B-4E0C-AF9C-3D844FB2F9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40" authorId="0" shapeId="0" xr:uid="{7B775F6D-58DC-49F9-96BC-FBA49DA9B9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40" authorId="0" shapeId="0" xr:uid="{F2D9955F-4C32-4D4C-8994-BC56756606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40" authorId="0" shapeId="0" xr:uid="{7810B213-0E38-4972-99C0-22E70CB2DA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40" authorId="0" shapeId="0" xr:uid="{AA30B4B1-EFF3-4AD5-A95B-CE3126EBBC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40" authorId="0" shapeId="0" xr:uid="{FD838E17-4944-4109-87E9-63160B8979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40" authorId="0" shapeId="0" xr:uid="{C1158088-C2E3-4792-A802-E44742DBC8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40" authorId="0" shapeId="0" xr:uid="{E90D6D7D-BB09-40CF-ACE7-6ED96EFE47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1" authorId="0" shapeId="0" xr:uid="{77E1366C-E48F-4A7E-94AD-CD6A27F82F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1" authorId="0" shapeId="0" xr:uid="{6BE43DDB-423E-4883-889E-3B8A01D3E9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1" authorId="0" shapeId="0" xr:uid="{0F37C35C-87E1-4E60-8398-ACA1C32885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1" authorId="0" shapeId="0" xr:uid="{FA875A62-7344-475B-8F9F-D215E1EFC6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1" authorId="0" shapeId="0" xr:uid="{C5132BDF-5F3F-4C0D-BA79-5A902010D1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1" authorId="0" shapeId="0" xr:uid="{EE9AE216-B1A8-4154-A314-83133146F8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1" authorId="0" shapeId="0" xr:uid="{57537B4E-8C56-4C5F-A0B5-FD69361BF8B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1" authorId="0" shapeId="0" xr:uid="{D4102A3D-84E1-429A-90A2-529352E739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1" authorId="0" shapeId="0" xr:uid="{45E41258-DFA4-4FAA-B5C3-0EFE28747B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1" authorId="0" shapeId="0" xr:uid="{BA7F15BC-4167-44AA-8C77-62256EDC307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1" authorId="0" shapeId="0" xr:uid="{BB60EFCE-C3FA-4D6D-8132-411E470006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41" authorId="0" shapeId="0" xr:uid="{24B5DFB9-8DFE-4823-9144-93B0D91C33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41" authorId="0" shapeId="0" xr:uid="{E7B8B7BA-7499-485C-8991-68D07232CD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41" authorId="0" shapeId="0" xr:uid="{1D1DEC6D-71EC-4829-BEA2-F805B6E9CB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41" authorId="0" shapeId="0" xr:uid="{0E389B0D-E907-4C8A-A8FF-5988AC515E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41" authorId="0" shapeId="0" xr:uid="{872F846E-DBBB-41A8-92B0-DE22449E26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2" authorId="0" shapeId="0" xr:uid="{67B4E306-0154-4844-B124-596B744E2D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2" authorId="0" shapeId="0" xr:uid="{9E812883-C950-4743-9F80-1ACD865ABC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2" authorId="0" shapeId="0" xr:uid="{FA187F50-6EEE-432B-8FCB-FDF6611CCF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2" authorId="0" shapeId="0" xr:uid="{3F163142-9578-4E41-9C0B-AEBB75AF80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2" authorId="0" shapeId="0" xr:uid="{0CF48093-1A1B-4161-B744-57BCF8EC6A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2" authorId="0" shapeId="0" xr:uid="{E7BC2242-9A20-4FD5-B292-D653F57ED59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2" authorId="0" shapeId="0" xr:uid="{A8B1C95B-A692-48B7-A613-B133DF5195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2" authorId="0" shapeId="0" xr:uid="{9A1B5684-3999-4E0A-B405-B8507699898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2" authorId="0" shapeId="0" xr:uid="{01D70297-AC12-49F7-AA78-E41ACAB59C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2" authorId="0" shapeId="0" xr:uid="{A27B9ECB-A836-4C13-B48F-5CEC9B1C44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2" authorId="0" shapeId="0" xr:uid="{E5B5A7DB-BAEC-4CE2-85F4-D044CC7DB4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42" authorId="0" shapeId="0" xr:uid="{D704F242-3A20-4EFC-9A09-C7459E0AAD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42" authorId="0" shapeId="0" xr:uid="{336A4DC5-2D1E-4E75-BAFD-204D83EC99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42" authorId="0" shapeId="0" xr:uid="{E291EDA8-C09F-4E4C-9E0B-64ECEEFE80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42" authorId="0" shapeId="0" xr:uid="{B3365A7F-EF2E-473C-8789-4CECF36ADA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42" authorId="0" shapeId="0" xr:uid="{DEF41610-5A7F-4ED6-9B04-4FC51A93DD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3" authorId="0" shapeId="0" xr:uid="{6D05A9E9-1CEB-4A6D-A57D-B5B2F0DF5B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3" authorId="0" shapeId="0" xr:uid="{B4DF22AE-B6F0-4FE3-B77B-D20655C845B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3" authorId="0" shapeId="0" xr:uid="{A5937D96-43B9-46D4-ADE2-0D992BDEF0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3" authorId="0" shapeId="0" xr:uid="{DFB37CD8-34FB-4E25-A5A7-D4CE5DE6B2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3" authorId="0" shapeId="0" xr:uid="{665210EA-E12D-4999-B7B8-5A50C3F7D3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3" authorId="0" shapeId="0" xr:uid="{D369522C-7F29-43EF-8B0B-3C98711358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3" authorId="0" shapeId="0" xr:uid="{381C95F9-59B9-4715-950E-14190265E2D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3" authorId="0" shapeId="0" xr:uid="{A3F478FB-16CD-4046-B7C2-D01330E838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3" authorId="0" shapeId="0" xr:uid="{D6087C0A-9F8A-4F55-9A49-2168D3A99B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3" authorId="0" shapeId="0" xr:uid="{BAE4EC2A-1275-4231-ACE0-7907F1DBBC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3" authorId="0" shapeId="0" xr:uid="{2C9C3820-DF00-4DA5-A743-F5882B16F8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43" authorId="0" shapeId="0" xr:uid="{D37EA5A3-EF06-4D90-854F-498CDB3DC2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43" authorId="0" shapeId="0" xr:uid="{1F93AFCA-5763-4F39-A09F-44E58AACAF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43" authorId="0" shapeId="0" xr:uid="{8634508E-610C-40D7-BA05-F531BBBAB1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43" authorId="0" shapeId="0" xr:uid="{43B600B0-27C5-4059-9BA4-41C778D7B7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43" authorId="0" shapeId="0" xr:uid="{BE534893-29D9-440F-B96C-CD8D8F4A79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44" authorId="0" shapeId="0" xr:uid="{8B6284C5-6076-4C2B-BA18-FDE016C679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4" authorId="0" shapeId="0" xr:uid="{B0FC3853-30FF-4255-8087-183A467EB2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4" authorId="0" shapeId="0" xr:uid="{F01E5ECC-A116-4C15-96B4-FC1CE5179D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4" authorId="0" shapeId="0" xr:uid="{175FFD1C-35B6-4F8E-B61B-5913972DF9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4" authorId="0" shapeId="0" xr:uid="{0D725C66-399E-46E4-8137-A843220FCA1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4" authorId="0" shapeId="0" xr:uid="{8181D3EB-9860-4D0B-B77E-FB90C792DE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44" authorId="0" shapeId="0" xr:uid="{7650AAA2-D8D1-40F9-8E86-5861A8D131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44" authorId="0" shapeId="0" xr:uid="{E7B795DF-C644-4AE0-AF98-84C30E7452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44" authorId="0" shapeId="0" xr:uid="{E2B0F44C-831A-4A76-A371-B6428B7704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44" authorId="0" shapeId="0" xr:uid="{2719F381-1547-4F46-B181-7C8A425181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44" authorId="0" shapeId="0" xr:uid="{74D73B44-A566-4D95-A249-7EDFF36847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44" authorId="0" shapeId="0" xr:uid="{28012AF5-A2EE-4404-8CFB-19CC81023A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44" authorId="0" shapeId="0" xr:uid="{6FE6270C-57BD-4095-8C7B-24997816F5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44" authorId="0" shapeId="0" xr:uid="{2EAD2E75-F7C1-4598-AFE0-18FA33C1BA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44" authorId="0" shapeId="0" xr:uid="{D071C79E-6035-4CB2-AE4A-1004F97237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44" authorId="0" shapeId="0" xr:uid="{486F3931-5958-4878-82FF-443EA7439E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5" authorId="0" shapeId="0" xr:uid="{D13DFF1A-B935-488F-96A6-1F2554DB3C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5" authorId="0" shapeId="0" xr:uid="{BA296B43-5F53-46A7-A15C-B4F5EF3C3E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5" authorId="0" shapeId="0" xr:uid="{9333B847-549E-4193-AD93-6841D8F9B0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5" authorId="0" shapeId="0" xr:uid="{1C47572D-61FB-431C-931F-21733D1C1F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5" authorId="0" shapeId="0" xr:uid="{6AC03C36-4B10-489B-B1F4-FDCFEDD92E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5" authorId="0" shapeId="0" xr:uid="{0513EAC5-8C1C-48C5-905B-496290ED3C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45" authorId="0" shapeId="0" xr:uid="{40572694-CFE2-49C4-982B-E339320C9E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45" authorId="0" shapeId="0" xr:uid="{F36FC74B-9A00-493A-9394-CCF92A3AE60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45" authorId="0" shapeId="0" xr:uid="{64E6DF9D-7A3A-4787-A5C6-2E5017CA12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45" authorId="0" shapeId="0" xr:uid="{CB1F0F6B-78B1-473B-BE3A-F941800109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45" authorId="0" shapeId="0" xr:uid="{8DD7E6B1-008E-4D23-834F-E110FFBA11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45" authorId="0" shapeId="0" xr:uid="{35708A84-2521-4613-A315-10DA6AC0A8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45" authorId="0" shapeId="0" xr:uid="{E3D67ECF-CF43-45A0-8070-BCEE11CB04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45" authorId="0" shapeId="0" xr:uid="{AB16C35C-6A41-479B-A2D8-24629558FC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45" authorId="0" shapeId="0" xr:uid="{B98E7146-3056-4410-9AF6-771A256195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45" authorId="0" shapeId="0" xr:uid="{516F9121-A81E-4DCC-960C-84D70337E3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6" authorId="0" shapeId="0" xr:uid="{2525E9C6-A529-44F0-9E62-2E41A5F828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6" authorId="0" shapeId="0" xr:uid="{AD519712-22FA-4ED4-A6A1-D6AD7AFF82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6" authorId="0" shapeId="0" xr:uid="{47A5DFDC-1B0F-447B-8A73-57334AEF2A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6" authorId="0" shapeId="0" xr:uid="{20210F62-9AD9-44D8-8696-9357FC0A32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6" authorId="0" shapeId="0" xr:uid="{EFA1741B-44E1-4F4D-90EF-08DF6C0DE0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6" authorId="0" shapeId="0" xr:uid="{F2A89655-1429-4471-8A5C-1A582EED85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46" authorId="0" shapeId="0" xr:uid="{32E2D727-D137-4F29-95B1-6F29ABDE0F2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46" authorId="0" shapeId="0" xr:uid="{4E859EA5-24F2-418D-B800-0052DDE163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46" authorId="0" shapeId="0" xr:uid="{655EA279-E89E-4190-9CB3-FC62FE9882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46" authorId="0" shapeId="0" xr:uid="{6E877A57-5798-4685-B218-55D74A3F67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46" authorId="0" shapeId="0" xr:uid="{BAA9C79B-CDD5-4FD6-89E3-43C54BFC6C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46" authorId="0" shapeId="0" xr:uid="{20DC5480-F0CE-4893-86EC-334634E035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46" authorId="0" shapeId="0" xr:uid="{D3756C59-E9EB-427A-873D-03445C4490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46" authorId="0" shapeId="0" xr:uid="{41CBE2AD-DB72-4997-BFEF-40B49C9B0A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46" authorId="0" shapeId="0" xr:uid="{254B178E-4197-4B12-BE9A-572549CB64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46" authorId="0" shapeId="0" xr:uid="{EF00F2FA-B438-43BA-A54D-3E1B53AE37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7" authorId="0" shapeId="0" xr:uid="{102ABF93-2464-4BC7-939C-A29DDE2D30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7" authorId="0" shapeId="0" xr:uid="{D37DAEEC-D517-4CC2-BB0D-23D545AAD7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7" authorId="0" shapeId="0" xr:uid="{11EEE7CD-5A54-4060-803B-DB72ACD531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7" authorId="0" shapeId="0" xr:uid="{D2A44307-1B67-4D44-9D1D-5DEB3FF865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7" authorId="0" shapeId="0" xr:uid="{7DB792D7-53CE-4304-9562-F1A301BF40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7" authorId="0" shapeId="0" xr:uid="{021EB3D2-36AD-4420-A88E-4E605B2FCF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47" authorId="0" shapeId="0" xr:uid="{5217E5AB-9014-431F-9D58-087FA2CC03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47" authorId="0" shapeId="0" xr:uid="{B2344DEC-BEA8-4916-838F-E99700F547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47" authorId="0" shapeId="0" xr:uid="{8AEEC29D-7F02-467C-8A59-3315AF3CBF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47" authorId="0" shapeId="0" xr:uid="{E0B02434-4DDC-41D1-B608-39EF6A8FD7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47" authorId="0" shapeId="0" xr:uid="{1E07E299-083A-420B-A378-63991C395F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47" authorId="0" shapeId="0" xr:uid="{70A68863-BD8E-4499-AC81-83DC378915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47" authorId="0" shapeId="0" xr:uid="{07BD1360-FB20-45BB-9E3C-92269B329F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47" authorId="0" shapeId="0" xr:uid="{54DDDA85-333A-490C-8587-B4D81A5A63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47" authorId="0" shapeId="0" xr:uid="{82D92814-D4B5-4E07-A6C3-1088C2D1A1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47" authorId="0" shapeId="0" xr:uid="{6DC4C0D0-C189-4D0C-B68E-669E834702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48" authorId="0" shapeId="0" xr:uid="{9D50F5FF-9ED1-4215-A624-7C23AB7E7D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48" authorId="0" shapeId="0" xr:uid="{ECBC470B-B5DB-4D15-AEF0-44415A2591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48" authorId="0" shapeId="0" xr:uid="{A7FBB6F5-21E8-4EC5-A1EA-A108FE1FC0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48" authorId="0" shapeId="0" xr:uid="{77E64CED-8A60-45B0-A92E-1437F2FD0A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48" authorId="0" shapeId="0" xr:uid="{3D41C5CA-0507-41D6-957E-A3B29597B3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48" authorId="0" shapeId="0" xr:uid="{B56CF17A-17AB-4ACD-A97C-AD44A892AB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48" authorId="0" shapeId="0" xr:uid="{8905F0F6-E6B1-4EBD-A2E2-69BD768300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48" authorId="0" shapeId="0" xr:uid="{A1A6162E-6D9D-43B3-92F7-CFF5A7F3F5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48" authorId="0" shapeId="0" xr:uid="{CD690C05-2044-4916-8974-B78F78F351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48" authorId="0" shapeId="0" xr:uid="{D1A4734B-423E-47B9-9BB1-29E27A45FE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48" authorId="0" shapeId="0" xr:uid="{A6D935D9-27D0-45A1-ACB3-85DCDEA6EC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48" authorId="0" shapeId="0" xr:uid="{03386804-4DD4-473E-A2A4-A004619780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48" authorId="0" shapeId="0" xr:uid="{D68B4A9F-0295-4ABA-A2F7-9A155A3C8E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48" authorId="0" shapeId="0" xr:uid="{7F39CAF8-330C-47DE-A27C-B8F070DB68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48" authorId="0" shapeId="0" xr:uid="{B25C1191-5808-4EA6-B9D2-C53FA91EB8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48" authorId="0" shapeId="0" xr:uid="{2A6BCA97-3BB9-4EED-8DDF-84165717BE7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1" authorId="0" shapeId="0" xr:uid="{3F32BDFF-2372-480B-9EF7-F6E516A9F7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1" authorId="0" shapeId="0" xr:uid="{D77EECC6-C5AF-491A-857A-3BA69A6776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1" authorId="0" shapeId="0" xr:uid="{096B0B29-2371-400D-9ED5-844E32E462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1" authorId="0" shapeId="0" xr:uid="{4C0987E0-5499-4B78-96DF-4B2A1CF875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1" authorId="0" shapeId="0" xr:uid="{090A4B96-A370-4907-9B75-4FC35E891E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1" authorId="0" shapeId="0" xr:uid="{EC2D44FE-CE40-4C7B-A42E-93254CC2D8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51" authorId="0" shapeId="0" xr:uid="{157731BD-554B-46DC-A5CE-8CC7CBFC02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1" authorId="0" shapeId="0" xr:uid="{046E3306-B9D2-43F5-AA7C-C65B5EF1CB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51" authorId="0" shapeId="0" xr:uid="{26E3CAD5-0A4E-4628-8F13-EF27A77C40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51" authorId="0" shapeId="0" xr:uid="{4CF9995D-B1C2-40BC-BA5A-F48B7178AD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1" authorId="0" shapeId="0" xr:uid="{411372ED-F3E8-4F9E-A20F-812BCF8532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1" authorId="0" shapeId="0" xr:uid="{58CBFB11-1048-4DE1-A972-2702AB033B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51" authorId="0" shapeId="0" xr:uid="{ACB2E351-3640-4902-A12E-53BA0F1E1A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51" authorId="0" shapeId="0" xr:uid="{FA05283B-97BE-4EB2-A871-21AA17932A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1" authorId="0" shapeId="0" xr:uid="{A864B933-4DA2-48EB-9574-AF0F3B181C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51" authorId="0" shapeId="0" xr:uid="{A2F28DD3-654D-44B7-9043-219B5B517D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2" authorId="0" shapeId="0" xr:uid="{1D615E4F-2FA3-4A8E-AC8C-F48FFA731D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2" authorId="0" shapeId="0" xr:uid="{4436C037-A4CD-4F61-A75D-F250E848CC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2" authorId="0" shapeId="0" xr:uid="{12388ADF-4361-4B78-9880-398030A1368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2" authorId="0" shapeId="0" xr:uid="{85525E34-3678-4ED0-9018-213AEBF763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2" authorId="0" shapeId="0" xr:uid="{99202F81-FD4B-4107-BB9A-BAC44EF512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2" authorId="0" shapeId="0" xr:uid="{2A2C2DB5-4263-46BC-BC0D-C077143C42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52" authorId="0" shapeId="0" xr:uid="{B9BE0F53-A971-4A84-A4F5-78352362F7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2" authorId="0" shapeId="0" xr:uid="{0236F4E6-98C4-4064-B300-A2DAF7508B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52" authorId="0" shapeId="0" xr:uid="{97C179F9-724B-4831-BBAA-DD3F2C76FF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52" authorId="0" shapeId="0" xr:uid="{1488DB14-2D8B-4703-BC78-E8B7641D88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2" authorId="0" shapeId="0" xr:uid="{C6C847CA-AB8D-4802-8123-8AE3B527EA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2" authorId="0" shapeId="0" xr:uid="{74F1E373-4D37-4E29-99A3-A77629AF28B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52" authorId="0" shapeId="0" xr:uid="{A976AB38-D944-4156-BFB1-9528CC2DA8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52" authorId="0" shapeId="0" xr:uid="{47C038AF-AAB7-4F32-9C0B-323E1D1383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2" authorId="0" shapeId="0" xr:uid="{2FDBECAE-6452-4154-9168-7779C0C692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52" authorId="0" shapeId="0" xr:uid="{50F1140C-4B4C-41A4-B0D5-FE0C4C09F6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3" authorId="0" shapeId="0" xr:uid="{06CF27BD-AA4A-4C29-A724-AEAC604F8C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3" authorId="0" shapeId="0" xr:uid="{40DC488F-AFD2-412D-B3FC-F20840DA60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3" authorId="0" shapeId="0" xr:uid="{6715CC8E-904D-40D6-BC52-C21D98E203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3" authorId="0" shapeId="0" xr:uid="{51C5CB58-2DF5-4509-B953-020D84EB75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3" authorId="0" shapeId="0" xr:uid="{BFFCC950-1484-48AF-9B53-3C3BD790DB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3" authorId="0" shapeId="0" xr:uid="{1CF6C149-2112-4533-A450-4885C65581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53" authorId="0" shapeId="0" xr:uid="{54008C75-ABC0-432E-892E-6F528D8A7D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3" authorId="0" shapeId="0" xr:uid="{8245283E-5337-415D-9ACF-7DBC5CAB1EF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53" authorId="0" shapeId="0" xr:uid="{55312ED1-A12C-46EE-B6D1-5DE51A7EE7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53" authorId="0" shapeId="0" xr:uid="{A8C279C2-927B-4443-B6C3-9910464F6B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3" authorId="0" shapeId="0" xr:uid="{A9FB4B06-90FA-4764-A663-83D851E7D5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3" authorId="0" shapeId="0" xr:uid="{A3175076-9A46-4FBC-9016-416516CFCB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53" authorId="0" shapeId="0" xr:uid="{13305EF4-EBA8-4D3B-B9D3-3BBF2D398F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53" authorId="0" shapeId="0" xr:uid="{610EB6AA-0116-4B2A-99BD-60750AAE73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3" authorId="0" shapeId="0" xr:uid="{2774CC9B-8AFA-4C54-B05C-137B60C17D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53" authorId="0" shapeId="0" xr:uid="{C4287657-3C7A-4CFC-943A-A7D17359C6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4" authorId="0" shapeId="0" xr:uid="{D6493F30-B349-4A7C-AF77-3A22B7DB43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4" authorId="0" shapeId="0" xr:uid="{4A74C93B-76C3-4F46-A31C-9338796AC5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4" authorId="0" shapeId="0" xr:uid="{2730D900-68A1-4E76-96A5-3CF7E976A2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4" authorId="0" shapeId="0" xr:uid="{AD880A6B-9773-4C27-AA0A-AE054794E9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4" authorId="0" shapeId="0" xr:uid="{DBECF583-BB22-4A6B-AD86-8D40CAC827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4" authorId="0" shapeId="0" xr:uid="{A7F83ACC-F173-4C44-9B04-798D7A34A7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54" authorId="0" shapeId="0" xr:uid="{8CF1B489-A9C0-4779-B7CD-9A5559AE74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4" authorId="0" shapeId="0" xr:uid="{73750822-2661-462D-89B3-0F1545BC15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54" authorId="0" shapeId="0" xr:uid="{ECD5A096-46AB-4D75-88AF-406D18E28D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54" authorId="0" shapeId="0" xr:uid="{69CBF9BF-08EE-4FBF-A694-B3B3DDA402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4" authorId="0" shapeId="0" xr:uid="{B840749D-DBF1-4244-B5E6-CF44ECA22A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4" authorId="0" shapeId="0" xr:uid="{C8A59BEE-152C-4FC5-9D35-134D000429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54" authorId="0" shapeId="0" xr:uid="{F08A96C4-CC5F-4E30-817E-C93E7A7C53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54" authorId="0" shapeId="0" xr:uid="{4A14CD33-23B2-452F-BEE7-46C7D39590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4" authorId="0" shapeId="0" xr:uid="{64741E1E-EED4-4290-880E-B78A58A11B7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54" authorId="0" shapeId="0" xr:uid="{707E6F18-9724-4228-9F4E-E5315881CA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5" authorId="0" shapeId="0" xr:uid="{F50F476B-4263-491F-9B66-F7B6A3CA48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5" authorId="0" shapeId="0" xr:uid="{E0765F68-3AF9-46F7-9D51-2391C02880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5" authorId="0" shapeId="0" xr:uid="{C18E0DA0-7D4E-462B-84A9-D30FE18805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5" authorId="0" shapeId="0" xr:uid="{DE482F42-829D-4D6E-BE14-395D39ED36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5" authorId="0" shapeId="0" xr:uid="{BFD6BEEE-DFF4-497C-9604-D98E9979EF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5" authorId="0" shapeId="0" xr:uid="{712CF0A4-18A9-4C3D-AF5D-053FFF622F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5" authorId="0" shapeId="0" xr:uid="{6018EE7F-63F5-47DA-B0BC-B748E596D9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5" authorId="0" shapeId="0" xr:uid="{C406A0D3-DA39-4DF0-8647-21ED68B627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5" authorId="0" shapeId="0" xr:uid="{D88F1BB8-5025-414D-BC06-FFDDEB9373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5" authorId="0" shapeId="0" xr:uid="{3943FA66-21D7-42E0-9DE5-61197441BE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5" authorId="0" shapeId="0" xr:uid="{BC2334F1-954C-4898-89F7-E10A14201C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55" authorId="0" shapeId="0" xr:uid="{67A6D59C-7BFC-4AD1-9166-EE6B93CF539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55" authorId="0" shapeId="0" xr:uid="{9F497E34-121A-4686-BFFB-FA90870975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55" authorId="0" shapeId="0" xr:uid="{F780516A-9C81-4D5F-964E-E7A3A34D2E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55" authorId="0" shapeId="0" xr:uid="{6B69C5C9-3C2E-4DB0-BFDC-453CE0F105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55" authorId="0" shapeId="0" xr:uid="{5C92DB10-C21D-4061-AB0E-1AA4D7E6B5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6" authorId="0" shapeId="0" xr:uid="{D48DCF3D-7793-47E6-A64D-70382E46DC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6" authorId="0" shapeId="0" xr:uid="{421B6DF3-BA6F-4BC8-8054-963FF7E639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6" authorId="0" shapeId="0" xr:uid="{0C6B66BB-83C9-4F4D-A69D-7B546A61F0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6" authorId="0" shapeId="0" xr:uid="{466EB034-2BC3-4522-BA43-022C3F7C87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6" authorId="0" shapeId="0" xr:uid="{21A72865-1DB4-4B36-84E6-A2BD14C15A3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6" authorId="0" shapeId="0" xr:uid="{69BC901B-E40A-48B1-8A86-937F8BE80E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6" authorId="0" shapeId="0" xr:uid="{D64DDA43-481E-45D5-8618-0B55CEFE54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6" authorId="0" shapeId="0" xr:uid="{6AA8191E-A952-442E-9245-C2DFBDE5FF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6" authorId="0" shapeId="0" xr:uid="{205C74A2-8444-4D1C-B6B9-E944BD1BE6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6" authorId="0" shapeId="0" xr:uid="{35A3B1A6-4E79-447C-8449-7F16D4C5A6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6" authorId="0" shapeId="0" xr:uid="{1DE44781-F86A-4907-B8C0-3D345A85EE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56" authorId="0" shapeId="0" xr:uid="{463693C8-A330-4E92-AD80-32DAACDDB82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56" authorId="0" shapeId="0" xr:uid="{51005BBB-45D5-45BF-BE03-8558898186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56" authorId="0" shapeId="0" xr:uid="{1BA7B873-CE8B-423F-84AC-BAAC48B5AF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56" authorId="0" shapeId="0" xr:uid="{AD596895-CECC-4461-B8B9-BD3D9FDCF8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56" authorId="0" shapeId="0" xr:uid="{460A84BE-9BA8-4418-AAAA-969AECF296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7" authorId="0" shapeId="0" xr:uid="{8839C2B6-AF7C-4623-92A7-2777E99E66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57" authorId="0" shapeId="0" xr:uid="{CF31D1B0-D51E-483C-8F76-4C0873B1F4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57" authorId="0" shapeId="0" xr:uid="{104925AA-0A7D-4470-BF3A-75880FA142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57" authorId="0" shapeId="0" xr:uid="{1B58EE16-7D2C-4B10-9FDD-B9CC9D2C11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57" authorId="0" shapeId="0" xr:uid="{BB4505F1-8D38-4187-AA4C-34C429FEDAB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57" authorId="0" shapeId="0" xr:uid="{EC777890-E232-47DF-9E88-F9D1B78D47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57" authorId="0" shapeId="0" xr:uid="{EE098CD6-C951-4B9E-85EB-528FA8BD4E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57" authorId="0" shapeId="0" xr:uid="{0F130637-11B7-448C-A581-EC1A9B7E36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57" authorId="0" shapeId="0" xr:uid="{3B5DB6D7-318B-41F2-B268-C204DB2FB6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57" authorId="0" shapeId="0" xr:uid="{06065AD9-9F0B-4EA4-9702-CA66478483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57" authorId="0" shapeId="0" xr:uid="{BD3F014C-E24B-4631-ABEC-8A62FECD38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57" authorId="0" shapeId="0" xr:uid="{83AE4A24-6470-4622-8A92-679B291278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57" authorId="0" shapeId="0" xr:uid="{BD5481E8-3950-4ABB-BA9C-A93BE90D98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57" authorId="0" shapeId="0" xr:uid="{60ED2E6E-C248-495A-9CAE-5534514F74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57" authorId="0" shapeId="0" xr:uid="{FBB29118-3D06-457C-97A7-81AD55B27E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57" authorId="0" shapeId="0" xr:uid="{3074009B-99A3-43FA-86CA-06AB73F8F4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58" authorId="0" shapeId="0" xr:uid="{DFDC5954-D4FE-48F2-8A0D-68317C43CD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8" authorId="0" shapeId="0" xr:uid="{C2A7E66F-36DB-4553-BE89-C5B803C977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8" authorId="0" shapeId="0" xr:uid="{B3A047B5-56FD-4825-AFF7-3994F0AE5F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8" authorId="0" shapeId="0" xr:uid="{E332F56C-8488-4F13-8244-D82A6A9587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8" authorId="0" shapeId="0" xr:uid="{25CADD7D-E7EF-4158-8814-DF509BAD39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8" authorId="0" shapeId="0" xr:uid="{D83D395C-0B64-49AF-8233-15F02ADC6F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58" authorId="0" shapeId="0" xr:uid="{77D9C419-8AD0-431E-A633-5340D9DBBC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8" authorId="0" shapeId="0" xr:uid="{1EA8E190-3F8C-4ABA-A3F6-D32EAAB3CC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58" authorId="0" shapeId="0" xr:uid="{7B30B961-7A10-4EE6-AE6B-B84917EC6E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58" authorId="0" shapeId="0" xr:uid="{5E30EE53-0938-45DF-9217-71D2CD2294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8" authorId="0" shapeId="0" xr:uid="{A8A77B69-066F-496D-B57A-43A81F2D79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8" authorId="0" shapeId="0" xr:uid="{001F5ED8-6EA2-477E-8580-84E1E4701F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58" authorId="0" shapeId="0" xr:uid="{FFB62EC6-8A89-4F5E-B9D5-F3612E04C1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58" authorId="0" shapeId="0" xr:uid="{87FB01A6-AA3D-4D3C-AFDA-BD75EF90D8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8" authorId="0" shapeId="0" xr:uid="{6F82BFBB-256F-4C32-B5B1-7D45305DE0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58" authorId="0" shapeId="0" xr:uid="{FFD69EC7-3967-4127-8A2D-01BD240E63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59" authorId="0" shapeId="0" xr:uid="{2B5B0F10-B799-46F4-88F8-13DF1A92EC8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59" authorId="0" shapeId="0" xr:uid="{EE6C09B4-8030-46FF-975D-0A6AD6A19A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59" authorId="0" shapeId="0" xr:uid="{605DB85A-67F0-4BF9-A906-F570394FFE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59" authorId="0" shapeId="0" xr:uid="{B2A1A885-1643-4BD7-8B5D-F592C32EE2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59" authorId="0" shapeId="0" xr:uid="{C8D32C3A-8570-4E39-8B3F-BFDC836FC2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59" authorId="0" shapeId="0" xr:uid="{6B61EA17-F188-4DAC-9E18-7F7D7DC9D6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59" authorId="0" shapeId="0" xr:uid="{FBDFDA1E-022B-4D6D-9AE6-5364194AB8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59" authorId="0" shapeId="0" xr:uid="{158D7642-F3C6-4B7D-9974-8AF65CF117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59" authorId="0" shapeId="0" xr:uid="{A30FC7DF-B027-44CC-AC85-33CBC7AE6D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59" authorId="0" shapeId="0" xr:uid="{600C87B7-0FB5-4EE4-B112-B9CBCAAF94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59" authorId="0" shapeId="0" xr:uid="{6B1D0303-B245-4045-9E85-285866187E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59" authorId="0" shapeId="0" xr:uid="{776B22D8-39E5-44C2-9C64-C8E61A23B1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59" authorId="0" shapeId="0" xr:uid="{D681B920-ABED-49A8-8D92-FA38ABAEB6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59" authorId="0" shapeId="0" xr:uid="{50121C3C-A551-48EE-8DCD-3D655CC4E8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59" authorId="0" shapeId="0" xr:uid="{1C34A686-28C9-4AA1-9CC7-09CF9481D7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59" authorId="0" shapeId="0" xr:uid="{F576B7D8-FA8B-46A4-A8C5-CA28D81F10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0" authorId="0" shapeId="0" xr:uid="{A9C595AF-30EE-40D0-B37E-C2BF9778DD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0" authorId="0" shapeId="0" xr:uid="{35F748B5-28E3-4BF0-AB2C-7E7C44EECC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0" authorId="0" shapeId="0" xr:uid="{9034184D-B99A-4971-BFF4-3C571DE120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0" authorId="0" shapeId="0" xr:uid="{80329802-9EFD-41B7-A57D-DCE0F5065A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0" authorId="0" shapeId="0" xr:uid="{10EB639D-8E44-4592-A027-16CA2E8818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0" authorId="0" shapeId="0" xr:uid="{B41F7D68-B8CF-45AB-BD5F-C6D6100D4C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60" authorId="0" shapeId="0" xr:uid="{AC1D5E2D-97F5-4960-80FC-BAAAB576B4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0" authorId="0" shapeId="0" xr:uid="{55240C93-1E6A-4811-BFD9-304C84637A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60" authorId="0" shapeId="0" xr:uid="{9FE77B11-ABFF-4309-A8C6-7BB72C186DC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60" authorId="0" shapeId="0" xr:uid="{86D0F559-BA79-42DE-8F81-D1E473C252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0" authorId="0" shapeId="0" xr:uid="{76D23247-17D8-4122-9A45-D527F313DE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0" authorId="0" shapeId="0" xr:uid="{98A05118-76C6-40B2-A88A-8EFDE47096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60" authorId="0" shapeId="0" xr:uid="{2E4D830B-930C-409D-A4A3-B129DF6BB6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60" authorId="0" shapeId="0" xr:uid="{817D6F62-0086-42B1-8563-210AF00F4D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0" authorId="0" shapeId="0" xr:uid="{77B2255D-809F-4AE4-978B-8DB1EC49D9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60" authorId="0" shapeId="0" xr:uid="{97C3567B-A750-41FE-B452-ED598980049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1" authorId="0" shapeId="0" xr:uid="{757DE4D6-327D-4FBB-9EB2-B6A7B37578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1" authorId="0" shapeId="0" xr:uid="{EA2E8993-0633-4AA7-802C-9149017803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1" authorId="0" shapeId="0" xr:uid="{72A76B31-7594-4FE7-897C-758E79D5BF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1" authorId="0" shapeId="0" xr:uid="{2CF4BE68-352E-497D-8307-20D8832C50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1" authorId="0" shapeId="0" xr:uid="{FE17BFEA-FC42-4799-BEEB-4620EBF50A1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1" authorId="0" shapeId="0" xr:uid="{A2232095-9E88-4F85-8321-07C5B75B6F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61" authorId="0" shapeId="0" xr:uid="{3C1FC153-0259-4540-AD93-F992BB935F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1" authorId="0" shapeId="0" xr:uid="{EB944569-BDE5-4356-B21A-9B2E64A9E0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61" authorId="0" shapeId="0" xr:uid="{BEE81CE0-1DE9-4E8E-BEC1-26EC474A0E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61" authorId="0" shapeId="0" xr:uid="{4277DAB4-F8A6-48CE-893D-39D47A9E81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1" authorId="0" shapeId="0" xr:uid="{33F90C5E-FDEC-40A4-B6EE-3A854F59BC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1" authorId="0" shapeId="0" xr:uid="{8D4CF079-DAAA-4982-A571-3C51BA76B8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61" authorId="0" shapeId="0" xr:uid="{F04D5E35-A21C-47D1-91D7-2EFD7127A7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61" authorId="0" shapeId="0" xr:uid="{671A53AE-30CE-467B-AC51-B9EDADDA0D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1" authorId="0" shapeId="0" xr:uid="{0E14AD28-75AF-4BC0-9357-0085339792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61" authorId="0" shapeId="0" xr:uid="{1B63F69F-7CBB-4599-A473-8C29312518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2" authorId="0" shapeId="0" xr:uid="{1F7E5E87-5B75-43E8-A657-E8E7582DDC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2" authorId="0" shapeId="0" xr:uid="{17EAEFFA-E1F7-4C5C-BBA5-E15E2CA4AB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2" authorId="0" shapeId="0" xr:uid="{87D106D3-C44D-42C8-9D6B-E198F06C68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2" authorId="0" shapeId="0" xr:uid="{97D78D5D-AC1E-46AE-ABC5-EB98D1660D6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2" authorId="0" shapeId="0" xr:uid="{641818C2-2473-4EF3-B485-6D276F87C1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2" authorId="0" shapeId="0" xr:uid="{140FF59F-CA74-4A20-9DE7-6725B1D27C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62" authorId="0" shapeId="0" xr:uid="{83E3F4D2-5A99-431B-BC5A-13A650056FE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2" authorId="0" shapeId="0" xr:uid="{8BFB67C1-57AA-4F9B-8744-2C88A8DF6E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62" authorId="0" shapeId="0" xr:uid="{150211A7-29B1-4412-B26A-FC79F5E397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62" authorId="0" shapeId="0" xr:uid="{9B1D1B99-DDBD-40D7-A649-50123ED436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2" authorId="0" shapeId="0" xr:uid="{2B3A055E-0E5D-45D8-9CD9-980C5F2D01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2" authorId="0" shapeId="0" xr:uid="{03AC1697-4D39-4376-996D-56DB34B00C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62" authorId="0" shapeId="0" xr:uid="{CAC1EF30-6E69-4111-90DB-EDD5940EC8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62" authorId="0" shapeId="0" xr:uid="{EAF786CC-60CD-4AB9-82B9-B968237AD7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2" authorId="0" shapeId="0" xr:uid="{30291E92-D20C-445A-AF5B-CAA21194F79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62" authorId="0" shapeId="0" xr:uid="{D8FBEFF2-3B54-4D72-8CBC-BA8130AD22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3" authorId="0" shapeId="0" xr:uid="{C4B58D2F-AC00-450A-9B09-056FBCFBF0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3" authorId="0" shapeId="0" xr:uid="{424A9DE6-4253-4E57-828F-496A349F82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3" authorId="0" shapeId="0" xr:uid="{FF2DF8A2-D25C-46CA-B471-98BB46B3BA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3" authorId="0" shapeId="0" xr:uid="{8B1EE5E8-9840-4757-AE81-CC4267F9C04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3" authorId="0" shapeId="0" xr:uid="{9A19993A-C0B6-4EFD-AAC9-7CF66C9E50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3" authorId="0" shapeId="0" xr:uid="{CC71CF12-E8A5-41DE-84B6-4500C410C0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63" authorId="0" shapeId="0" xr:uid="{28EFD926-3DD7-44DE-9FCB-3B5ADDC707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3" authorId="0" shapeId="0" xr:uid="{14284A7B-1BC1-4D07-8D05-520B2AF3BC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63" authorId="0" shapeId="0" xr:uid="{61939504-6030-4731-A385-1A0B57F9DC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63" authorId="0" shapeId="0" xr:uid="{6EDB6CAC-0EEE-4438-8BE5-09192E0BE5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3" authorId="0" shapeId="0" xr:uid="{968A2B8F-6DA7-4E93-AABB-34B56E5B74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3" authorId="0" shapeId="0" xr:uid="{60D8303E-D306-48D5-88AC-956FD0670F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63" authorId="0" shapeId="0" xr:uid="{0F478FA9-8562-44C6-BA98-FE3D785241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63" authorId="0" shapeId="0" xr:uid="{0467286A-A2E3-4F6D-BB03-FFFF68138B3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3" authorId="0" shapeId="0" xr:uid="{09A726EC-779F-4B8F-8BA5-817D876ABF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63" authorId="0" shapeId="0" xr:uid="{083C1F71-C8A1-4100-9ECD-882BB121FE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4" authorId="0" shapeId="0" xr:uid="{75EC6AF8-68FB-4D4A-BC4B-55BF952778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4" authorId="0" shapeId="0" xr:uid="{404F58B9-0D78-44C4-9741-4F07E3D81F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4" authorId="0" shapeId="0" xr:uid="{706736F8-9CC2-410C-8FE8-7AA9908E8D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4" authorId="0" shapeId="0" xr:uid="{08AC16C3-671E-41E2-A91E-29206A065D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4" authorId="0" shapeId="0" xr:uid="{4906FDDE-BBE7-45B1-88D5-7E0B5BC14F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4" authorId="0" shapeId="0" xr:uid="{35A22478-25BA-4070-955E-1072FC4621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4" authorId="0" shapeId="0" xr:uid="{41D8DAB9-EA79-4DDB-9ACF-6A1A0434A5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4" authorId="0" shapeId="0" xr:uid="{5B26EDD4-15CC-4A3E-BF11-85982295EF4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4" authorId="0" shapeId="0" xr:uid="{38C3E68F-C2AD-4ABE-BBCD-50F6182FBA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4" authorId="0" shapeId="0" xr:uid="{67523D2F-C736-46D1-BCA8-D891295252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4" authorId="0" shapeId="0" xr:uid="{BB6C65CF-4A13-43B2-900E-00529899E6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64" authorId="0" shapeId="0" xr:uid="{88665BCF-A71E-498E-AB86-D3575E388E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64" authorId="0" shapeId="0" xr:uid="{0F1F37C8-C959-4D7E-B3D0-E982A02F8C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64" authorId="0" shapeId="0" xr:uid="{FEE05778-C104-45E6-807D-4D30B2B1C7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64" authorId="0" shapeId="0" xr:uid="{B2FA227E-3943-4480-8F24-DA46D43642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64" authorId="0" shapeId="0" xr:uid="{40A0C21F-A472-4E38-A3C6-676BFEEFC9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5" authorId="0" shapeId="0" xr:uid="{0A7CE077-E0CF-4A77-B040-A6A6E7CAC0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5" authorId="0" shapeId="0" xr:uid="{07673807-B975-44FB-A78D-4E157B6BD2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5" authorId="0" shapeId="0" xr:uid="{5DACE5AC-54B2-4686-8C65-1F4BB3A150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5" authorId="0" shapeId="0" xr:uid="{730C3906-2617-4479-9B58-6D20C1E940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5" authorId="0" shapeId="0" xr:uid="{64EF2E63-D744-46C1-9060-B5CDF1AF3D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5" authorId="0" shapeId="0" xr:uid="{0B69FE67-7888-4935-8F30-D64F7D335D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5" authorId="0" shapeId="0" xr:uid="{208203D8-5A17-424A-9B6F-CC68B6C80F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5" authorId="0" shapeId="0" xr:uid="{B5876A88-7843-47CB-B4A1-CA6A3AEB56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5" authorId="0" shapeId="0" xr:uid="{55BC1E29-619B-4255-B3CD-C1C0E28EF5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5" authorId="0" shapeId="0" xr:uid="{691F768C-A6E0-49DA-9A4B-071FB8E58C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5" authorId="0" shapeId="0" xr:uid="{666E2ADF-1B44-4746-BF18-3F3971D0E8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65" authorId="0" shapeId="0" xr:uid="{BF8BCE1F-C8F2-46FE-B721-A65BC3BDA7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65" authorId="0" shapeId="0" xr:uid="{E737F134-E4F0-4F58-8751-A28A86180C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65" authorId="0" shapeId="0" xr:uid="{7BD23888-F990-4560-929A-8FDB80CA48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65" authorId="0" shapeId="0" xr:uid="{9D85C61F-738E-4685-A54A-6134D3FAC3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65" authorId="0" shapeId="0" xr:uid="{E7FA674E-3B58-4684-B010-CB0B1AB4F3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6" authorId="0" shapeId="0" xr:uid="{70EA5FD4-A5DC-4281-9F21-259DA85A16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6" authorId="0" shapeId="0" xr:uid="{6E915223-1366-48D7-8DF3-324C43B3A70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6" authorId="0" shapeId="0" xr:uid="{E44CD16A-80D9-42BC-B51B-89EE8F9A0B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6" authorId="0" shapeId="0" xr:uid="{27F2CA51-87B6-4F0A-B060-30C7AB120A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6" authorId="0" shapeId="0" xr:uid="{BB353383-02F9-4C97-B3BF-FCA999DD9C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6" authorId="0" shapeId="0" xr:uid="{99BE0A73-FC05-4A03-9664-94F1FDAA28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6" authorId="0" shapeId="0" xr:uid="{5CB78D58-EFC4-4CFE-BF67-918697164F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6" authorId="0" shapeId="0" xr:uid="{17736DF7-4362-4B01-B68E-DC710B945B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6" authorId="0" shapeId="0" xr:uid="{0518CE43-5848-4241-840F-8EE6D2CB3F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6" authorId="0" shapeId="0" xr:uid="{0370EB93-BC51-4FC4-B43F-4F1285DC164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6" authorId="0" shapeId="0" xr:uid="{C17D44B6-96C9-4DDF-891C-FB128EC12C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66" authorId="0" shapeId="0" xr:uid="{C571D5DD-910C-4758-BAF8-B9EEBF95EF2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66" authorId="0" shapeId="0" xr:uid="{F743B6C3-7076-446E-B199-EFFD6CFD73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66" authorId="0" shapeId="0" xr:uid="{B41C9D42-D38B-456C-BF48-6BE7E7E478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66" authorId="0" shapeId="0" xr:uid="{0E65642E-6E6D-47E8-A715-E054213E27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66" authorId="0" shapeId="0" xr:uid="{327D38B6-9BD9-4426-BBBF-E4259CCBC02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7" authorId="0" shapeId="0" xr:uid="{418B59F7-FB5A-4DA5-B2EA-782EB0FEA6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7" authorId="0" shapeId="0" xr:uid="{18A7D200-3E1E-4BF8-9730-ADEAAF7B43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7" authorId="0" shapeId="0" xr:uid="{011EEEC5-CAE6-43C7-B0E8-A35ED8D524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7" authorId="0" shapeId="0" xr:uid="{3941165A-D1C9-4033-9122-5DF30A065B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7" authorId="0" shapeId="0" xr:uid="{D2ACF386-4178-4383-AB34-FD3374F6ED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7" authorId="0" shapeId="0" xr:uid="{7C26E8E0-8BC5-41E4-AE03-3CA398CF8A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67" authorId="0" shapeId="0" xr:uid="{7F8CEBF8-690E-4305-9976-D79DF8512E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7" authorId="0" shapeId="0" xr:uid="{271221F4-914A-48A2-969F-2B5321AD97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67" authorId="0" shapeId="0" xr:uid="{CBB3F9A9-6B3C-4381-A64D-2E55A74806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67" authorId="0" shapeId="0" xr:uid="{CA5B8E78-60D3-4E6D-8FF4-A9E542A1DD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7" authorId="0" shapeId="0" xr:uid="{E803CB22-0A55-4592-A432-A4F9FC3060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7" authorId="0" shapeId="0" xr:uid="{BC017DED-3EAF-4E28-8CE0-8CD354616D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67" authorId="0" shapeId="0" xr:uid="{C34B9A6B-435F-414E-8D94-572CCF94466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67" authorId="0" shapeId="0" xr:uid="{2E47894C-23C2-4879-86E2-4E90D43761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7" authorId="0" shapeId="0" xr:uid="{757A5FFF-4CA6-4418-AB9D-5D70DCA74D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67" authorId="0" shapeId="0" xr:uid="{38D7267C-621F-41C7-AFD5-BF176CDBF5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8" authorId="0" shapeId="0" xr:uid="{441F49CA-D949-4815-B023-9E83DEFA28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8" authorId="0" shapeId="0" xr:uid="{C2D8081C-FC3D-41DE-A14B-20E5546A7B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8" authorId="0" shapeId="0" xr:uid="{E980290B-CA10-4328-9A53-46E3322AE2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8" authorId="0" shapeId="0" xr:uid="{1536E8CF-6622-46EB-A1F7-28512864F00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8" authorId="0" shapeId="0" xr:uid="{A7E20CEC-BF3E-47F0-A4E1-F334F7BF2E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8" authorId="0" shapeId="0" xr:uid="{93430156-BEDB-4A9A-BA83-E9D6C41DE3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68" authorId="0" shapeId="0" xr:uid="{A755A0EE-ECED-43F3-A489-3F2FF373A3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8" authorId="0" shapeId="0" xr:uid="{87BC37F4-09EE-49FD-989F-36FFEF9D07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68" authorId="0" shapeId="0" xr:uid="{A55A8416-9F96-4746-8A6C-96B26D4E2A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68" authorId="0" shapeId="0" xr:uid="{7CCD14C4-3434-4137-9531-D492FE93F9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8" authorId="0" shapeId="0" xr:uid="{45C16589-5761-488B-A6DF-173E59ADA1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8" authorId="0" shapeId="0" xr:uid="{76D5215A-C326-4DD0-ABA9-54829DBD4E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68" authorId="0" shapeId="0" xr:uid="{B0D861E6-3E79-434D-9F2D-0E71E34315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68" authorId="0" shapeId="0" xr:uid="{B90C8B0F-C80E-4AF2-B181-9F9D0ABFA6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8" authorId="0" shapeId="0" xr:uid="{365E0A99-E0D6-4C78-AFD2-4C098E9C5E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68" authorId="0" shapeId="0" xr:uid="{AA227B6F-236D-46DC-87F4-D278544E6B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69" authorId="0" shapeId="0" xr:uid="{44E8539C-7D76-4545-A7FB-DE8F921AF5F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69" authorId="0" shapeId="0" xr:uid="{C0EDEB2E-0DE1-4A27-89C8-A08DC44F21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69" authorId="0" shapeId="0" xr:uid="{EDBF8A5F-AD7B-48E5-BEB5-8BE1416777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69" authorId="0" shapeId="0" xr:uid="{089A8D8E-F993-47D3-A0C5-F5DBEB276F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69" authorId="0" shapeId="0" xr:uid="{3B5C40AE-A126-433E-AA14-37966DE059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69" authorId="0" shapeId="0" xr:uid="{5E23C797-C793-4589-8BE4-71B2E22E146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69" authorId="0" shapeId="0" xr:uid="{D004D13C-01E4-46CB-A6DB-52C7639D796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69" authorId="0" shapeId="0" xr:uid="{5A38D15B-A706-43B3-AE52-FE01A5853A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69" authorId="0" shapeId="0" xr:uid="{9761032F-D3BD-458E-A0E1-137C72BC9D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69" authorId="0" shapeId="0" xr:uid="{E2136DB9-10B6-4A31-B60D-00F2DFBACD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69" authorId="0" shapeId="0" xr:uid="{BC4CA413-6420-4216-B651-9538FE13A2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69" authorId="0" shapeId="0" xr:uid="{99D437A6-FF85-44E2-AEEC-3A4C5F0A08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69" authorId="0" shapeId="0" xr:uid="{00EB6A31-932B-4F6B-86A2-BE4B3D870D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69" authorId="0" shapeId="0" xr:uid="{A7DC3ED6-765D-4DAE-9E43-B4C9B27835B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69" authorId="0" shapeId="0" xr:uid="{7B2BBDE6-970E-4D11-8C51-70FEDB9C4F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69" authorId="0" shapeId="0" xr:uid="{C9948433-2E4C-4D6D-B569-8C4AEB6614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0" authorId="0" shapeId="0" xr:uid="{35DE8583-3673-4705-9ADB-7D90A0A6F3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0" authorId="0" shapeId="0" xr:uid="{EA05EB13-7A15-4616-B334-8DCC8464437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0" authorId="0" shapeId="0" xr:uid="{8A72372E-0C19-4592-BA1C-B9731A6330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0" authorId="0" shapeId="0" xr:uid="{2663ACB0-025F-4388-8565-0C0C646310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0" authorId="0" shapeId="0" xr:uid="{CB5194C4-91C7-4C1C-BCE8-594CAF05B0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0" authorId="0" shapeId="0" xr:uid="{6F51C17C-ADDC-48FA-80B1-EAA3D6B0CCC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70" authorId="0" shapeId="0" xr:uid="{CCC4003D-82F9-4D06-857B-08A1A0BF56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0" authorId="0" shapeId="0" xr:uid="{49997BA1-CA29-433F-A5A4-8E827B380A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70" authorId="0" shapeId="0" xr:uid="{8D5A4C70-A1FE-4C92-8748-572A1CAE66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70" authorId="0" shapeId="0" xr:uid="{24AE1FAC-3974-4963-8394-FED8AF5426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0" authorId="0" shapeId="0" xr:uid="{F7C7F741-40A3-4B9E-A004-0E8373930C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0" authorId="0" shapeId="0" xr:uid="{E5A1051E-B5A8-4CF6-86F7-6342B730DC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70" authorId="0" shapeId="0" xr:uid="{AC2AA4CB-99A7-4307-A98B-70A3570F91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70" authorId="0" shapeId="0" xr:uid="{8BC5AA59-ABA3-4AA5-83EA-2B9CD2C984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0" authorId="0" shapeId="0" xr:uid="{A957CACC-F2C5-43CC-9A7F-6AA12B5EB6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70" authorId="0" shapeId="0" xr:uid="{68381B6E-D65C-4C3F-9256-8C3AAFE6CD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1" authorId="0" shapeId="0" xr:uid="{6F047D2B-6C80-4DCD-8171-60A01CD6F7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1" authorId="0" shapeId="0" xr:uid="{052D60BA-66CD-4DF8-BE4E-B17E953429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1" authorId="0" shapeId="0" xr:uid="{12A025B0-6223-4D97-AFE0-B18439DD1B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1" authorId="0" shapeId="0" xr:uid="{98BFA981-0601-4386-8ED3-28EC277367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1" authorId="0" shapeId="0" xr:uid="{4DB677AE-5926-4CFD-84B5-B51EC887D3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1" authorId="0" shapeId="0" xr:uid="{F806F487-D150-47E8-984C-3150DFECC3A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71" authorId="0" shapeId="0" xr:uid="{7FEE9E41-887F-4217-83D8-05B00C3EEF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1" authorId="0" shapeId="0" xr:uid="{CFC39647-3685-4A66-97D9-BE882F4F8F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71" authorId="0" shapeId="0" xr:uid="{5F7EF4F3-5201-4007-BAD5-0D9A133CBB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71" authorId="0" shapeId="0" xr:uid="{2B41CF4B-A773-4F0C-9507-BB95C51FD3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1" authorId="0" shapeId="0" xr:uid="{A4ED269B-F825-46C4-A9E1-B4EFBE0F22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1" authorId="0" shapeId="0" xr:uid="{FFCCAE54-6020-4C17-9047-EEF18E1B9BD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71" authorId="0" shapeId="0" xr:uid="{59D6036D-805E-4642-9359-67F7A5ECE5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71" authorId="0" shapeId="0" xr:uid="{4D81F97A-B9C7-47BB-A980-CD6B8D97E4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1" authorId="0" shapeId="0" xr:uid="{FC1F4C1E-6A6C-4891-8C74-1073668A46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71" authorId="0" shapeId="0" xr:uid="{85CA8E21-25EA-42AB-A607-82421F33F5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4" authorId="0" shapeId="0" xr:uid="{6D9B1E42-1DFD-4F25-9EAE-638EDEC568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4" authorId="0" shapeId="0" xr:uid="{D47ABDA7-5F93-4A9B-B021-DC86FC3E9C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4" authorId="0" shapeId="0" xr:uid="{AD0FA7A9-5B70-44A3-A9D7-5F5C4D6A01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4" authorId="0" shapeId="0" xr:uid="{C8FEE5B3-6F35-47DA-B4E5-3FA442E496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4" authorId="0" shapeId="0" xr:uid="{CB7D4DAA-1AAD-4223-9649-FD73BB3C0B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4" authorId="0" shapeId="0" xr:uid="{09BC32C5-C838-47D4-96D2-D67836F0A67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74" authorId="0" shapeId="0" xr:uid="{B1208BE6-595A-4209-AB53-51A1E960E4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4" authorId="0" shapeId="0" xr:uid="{89C94693-E7FC-4461-8F6C-D3B124986B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74" authorId="0" shapeId="0" xr:uid="{D0AB5A06-5C37-4BEC-821F-A73BC5F22E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74" authorId="0" shapeId="0" xr:uid="{A78E6927-4483-40D4-9CCF-E60ABBCBE8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4" authorId="0" shapeId="0" xr:uid="{352E9057-AAEB-4377-A8C3-33E467549B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4" authorId="0" shapeId="0" xr:uid="{35C4A442-CB3F-4072-B151-90705D23B7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74" authorId="0" shapeId="0" xr:uid="{6AA8CB4E-DF64-4D98-8390-1C2FBB0C47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74" authorId="0" shapeId="0" xr:uid="{20906E86-5CFD-4698-B564-C0E758545A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4" authorId="0" shapeId="0" xr:uid="{384553BA-2B34-4D32-9AB7-B3B16D9FE6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74" authorId="0" shapeId="0" xr:uid="{9B19C6F0-11DB-4B14-8545-7E608B5419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5" authorId="0" shapeId="0" xr:uid="{3905C3A2-9D69-4CA4-AA86-419E31D9D3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5" authorId="0" shapeId="0" xr:uid="{ABC1F0C4-6014-44F5-BD8F-D16272F7A2B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5" authorId="0" shapeId="0" xr:uid="{22331E63-918A-4D8D-8EA8-AF4DB0D6F9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5" authorId="0" shapeId="0" xr:uid="{9913D4C8-FB84-4BC9-B5CE-8C4A13D6C1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5" authorId="0" shapeId="0" xr:uid="{ADFFDD01-879A-4E1C-8B8F-F86E3D599A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5" authorId="0" shapeId="0" xr:uid="{58C1F62A-0E8B-4430-BA65-374A1472FF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75" authorId="0" shapeId="0" xr:uid="{95D3C610-9F0A-4D90-80E3-61210E4B2A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5" authorId="0" shapeId="0" xr:uid="{ABD10D0B-3764-4A8D-A028-A74FA00974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75" authorId="0" shapeId="0" xr:uid="{18A0D1E9-5476-4BDE-9D29-39BDFAED4C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75" authorId="0" shapeId="0" xr:uid="{1004DE42-62AF-4BE0-8A8B-3A6C2E27D44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5" authorId="0" shapeId="0" xr:uid="{346E19B5-9F46-4555-9097-9175DBA2FD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5" authorId="0" shapeId="0" xr:uid="{816584BF-CDB2-4E7A-8435-A2E4DEDC27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75" authorId="0" shapeId="0" xr:uid="{A57A622F-A0E4-4005-953C-44D38DCF1F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75" authorId="0" shapeId="0" xr:uid="{9D2C2C37-2337-4FFB-AFEB-EC4F17A92B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5" authorId="0" shapeId="0" xr:uid="{F67388BC-9CF3-4579-8D67-B4896DFB39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75" authorId="0" shapeId="0" xr:uid="{A06291E5-4AB3-4722-9703-330AB9AA78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6" authorId="0" shapeId="0" xr:uid="{3A1DCB4D-835E-4B31-B5BD-44D635D9921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6" authorId="0" shapeId="0" xr:uid="{91180924-15CA-4FEB-829A-18B8FED43B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6" authorId="0" shapeId="0" xr:uid="{89F843FC-44E3-45A1-BB9E-C3DE22BDBF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6" authorId="0" shapeId="0" xr:uid="{83E6148D-D950-46FE-BFB4-DEB3E12F92F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6" authorId="0" shapeId="0" xr:uid="{48C56E70-6A3D-457A-92BC-3E677619B8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6" authorId="0" shapeId="0" xr:uid="{9BAF9E0C-8ED7-43AA-AEF7-AE7B7866D1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76" authorId="0" shapeId="0" xr:uid="{26E00802-2749-422F-8224-92A9DF6385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6" authorId="0" shapeId="0" xr:uid="{BC37A93E-042C-4D07-A836-8CDA9912B9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76" authorId="0" shapeId="0" xr:uid="{643519B5-25D8-4716-BF1F-7A1D938613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76" authorId="0" shapeId="0" xr:uid="{E2780385-F792-4DCE-85EA-64F645B195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6" authorId="0" shapeId="0" xr:uid="{2A1581CD-9A2B-4B00-B547-E7BEA40B1D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6" authorId="0" shapeId="0" xr:uid="{CBEA9E85-0E07-4B27-976B-8F9BF86734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76" authorId="0" shapeId="0" xr:uid="{D81BA4E4-30CD-4E25-9638-A5075E4789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76" authorId="0" shapeId="0" xr:uid="{3F3151DD-8D74-44D5-9499-710F22190A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6" authorId="0" shapeId="0" xr:uid="{9CB717DD-9AAC-4D60-8975-EB7A97498B3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76" authorId="0" shapeId="0" xr:uid="{052ED751-6294-4185-9B4B-3723AF1CDB0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7" authorId="0" shapeId="0" xr:uid="{5077F04F-7C8B-44EB-8464-2682FE7684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77" authorId="0" shapeId="0" xr:uid="{62B4DD98-0E5E-4F66-A300-1A95B32B74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77" authorId="0" shapeId="0" xr:uid="{680A8976-B971-4887-9030-E127A4E81C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77" authorId="0" shapeId="0" xr:uid="{5CCFE817-64F9-4A84-8F6C-A9598BDF2E0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77" authorId="0" shapeId="0" xr:uid="{A4A05986-6B2E-46DD-AC3A-2DA6F8D6507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77" authorId="0" shapeId="0" xr:uid="{B6956D14-A595-4E79-9E8F-A75C4BA2E0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77" authorId="0" shapeId="0" xr:uid="{D5F9DD17-D469-44DA-944B-DC30D87B3C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77" authorId="0" shapeId="0" xr:uid="{4CE9A2E7-16AD-4CA2-889D-305A65B9E1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77" authorId="0" shapeId="0" xr:uid="{2123E207-9149-416E-983F-1B3248ABB8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77" authorId="0" shapeId="0" xr:uid="{96641B9A-A87B-4A4D-826B-A38E1E13A6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77" authorId="0" shapeId="0" xr:uid="{B6B37B04-C017-46C0-8709-F32300E92A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77" authorId="0" shapeId="0" xr:uid="{9E65FF8E-314E-4826-BEE1-F4D8B12198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77" authorId="0" shapeId="0" xr:uid="{B5565002-2D04-40E6-880F-1BCA320DAE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77" authorId="0" shapeId="0" xr:uid="{B21BB335-9254-4868-90BE-6D416F1C0C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77" authorId="0" shapeId="0" xr:uid="{0085494F-26C3-4BDF-A46D-38CB5F8E96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77" authorId="0" shapeId="0" xr:uid="{B0AC6F89-D6D6-4C04-B162-B87722FD18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8" authorId="0" shapeId="0" xr:uid="{BC213FE7-C35B-4BBF-97C3-FF5FE9CA33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8" authorId="0" shapeId="0" xr:uid="{5C181DEE-2D76-45C3-8C67-EDF8187209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8" authorId="0" shapeId="0" xr:uid="{F184B75C-58EE-48B8-8B56-F5EF4FB78B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8" authorId="0" shapeId="0" xr:uid="{BCA403BC-B024-4441-A9E3-2D02BFDBEF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8" authorId="0" shapeId="0" xr:uid="{C06D6C21-C4A4-4D33-88C3-259367C18C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8" authorId="0" shapeId="0" xr:uid="{751119A9-1259-439D-9B73-6680B7E2DB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8" authorId="0" shapeId="0" xr:uid="{B4E3921E-73B3-4020-8803-B24CD5CAC8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8" authorId="0" shapeId="0" xr:uid="{58065FDF-5D10-46D8-BEC0-7C8529F0B3E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8" authorId="0" shapeId="0" xr:uid="{5CCCF8F1-F4B7-4AA4-A571-1F4B0A602D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8" authorId="0" shapeId="0" xr:uid="{CF8D100A-5FD1-4497-89AE-F585A3B077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78" authorId="0" shapeId="0" xr:uid="{0722CE75-9FCC-41D7-8E46-9B2509776C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78" authorId="0" shapeId="0" xr:uid="{5D9B9EC7-C170-4F84-A768-6B8AEA42C86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78" authorId="0" shapeId="0" xr:uid="{5C6F5E40-9B93-4449-8980-E2F58E3D59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78" authorId="0" shapeId="0" xr:uid="{545D9EF0-1DB8-41A4-A65E-A14812F4A2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78" authorId="0" shapeId="0" xr:uid="{BC5C8140-8314-4215-B58D-8975D64A83F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78" authorId="0" shapeId="0" xr:uid="{4D5220E6-B022-4D46-A440-6CB3A11EB6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9" authorId="0" shapeId="0" xr:uid="{2694CD2C-C310-499E-9B81-396D812B91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79" authorId="0" shapeId="0" xr:uid="{2420C234-85A5-429D-8ABE-BC2FC3DD85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79" authorId="0" shapeId="0" xr:uid="{C41AD842-01CD-44D9-9FC1-26E08D666E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79" authorId="0" shapeId="0" xr:uid="{F6AD4F79-3566-4196-A404-454119C22E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79" authorId="0" shapeId="0" xr:uid="{F29800C1-BA3A-45B1-ADD0-A5B09F3722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79" authorId="0" shapeId="0" xr:uid="{34604198-95F1-4485-8728-9715DED8AD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79" authorId="0" shapeId="0" xr:uid="{920AEA6D-9100-49DE-922F-2D05D29269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79" authorId="0" shapeId="0" xr:uid="{E6055DD5-EE8A-460E-A79A-22993342D3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79" authorId="0" shapeId="0" xr:uid="{A1D5C0DD-D93F-438E-ABBB-CD8F70E252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79" authorId="0" shapeId="0" xr:uid="{985B895C-1778-441A-83A1-8B7B544AC92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79" authorId="0" shapeId="0" xr:uid="{F608D280-46C8-4F66-B53B-B0E7BEF79E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79" authorId="0" shapeId="0" xr:uid="{6DCFAF6E-33A6-42C8-B254-29DBE666103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79" authorId="0" shapeId="0" xr:uid="{84C580C7-D591-4E88-9035-E6F5AEC3AF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79" authorId="0" shapeId="0" xr:uid="{1074BEA2-3EBC-4141-88C8-EE11F0B64A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79" authorId="0" shapeId="0" xr:uid="{A01ED05D-511C-4C4E-887F-3576647B54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79" authorId="0" shapeId="0" xr:uid="{F30742CD-CB4F-4E58-B7EA-1994E00CDF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0" authorId="0" shapeId="0" xr:uid="{C29291D1-D68B-4DA7-81F1-A69A1E554EE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0" authorId="0" shapeId="0" xr:uid="{D4669667-B4FE-4DAC-AF0A-EB80859E07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0" authorId="0" shapeId="0" xr:uid="{34602648-57EE-4ED1-AB22-801E0AB1CA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0" authorId="0" shapeId="0" xr:uid="{EBC27177-47D8-4360-9C63-98C846BDDD1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0" authorId="0" shapeId="0" xr:uid="{ACD34E15-87F5-4E97-8988-000226B35B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0" authorId="0" shapeId="0" xr:uid="{73F07E74-BC99-40F5-9911-C8CA4333F6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0" authorId="0" shapeId="0" xr:uid="{4C1B75F7-FD62-4F7D-8C22-E4D2223C34B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0" authorId="0" shapeId="0" xr:uid="{17DDDB22-D193-4D89-89DC-E467ACFF02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0" authorId="0" shapeId="0" xr:uid="{E16CB556-F319-4C8F-9FFF-A1520FA78B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0" authorId="0" shapeId="0" xr:uid="{A712A3D5-A0A8-4F6D-ACEC-CC5F1406A5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0" authorId="0" shapeId="0" xr:uid="{5FB6D0A6-0472-4C21-9366-677A89F3A5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80" authorId="0" shapeId="0" xr:uid="{2D897B49-07B1-4787-877D-6D254F70DB7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80" authorId="0" shapeId="0" xr:uid="{3B30AF54-49FF-47A5-8B1C-E185277D516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80" authorId="0" shapeId="0" xr:uid="{7FC18AF1-0E56-43FA-89BE-85DA27CEC9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80" authorId="0" shapeId="0" xr:uid="{5649EE39-F994-4886-8E6C-8066FEF61F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80" authorId="0" shapeId="0" xr:uid="{00ED800A-C9D5-46C1-A554-890C4C0DFE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1" authorId="0" shapeId="0" xr:uid="{BFD010E1-AC7A-4483-832B-2383ED1959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1" authorId="0" shapeId="0" xr:uid="{D7FB9501-AEA5-4C6E-B905-FDFE161BC06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1" authorId="0" shapeId="0" xr:uid="{C5138156-6E3C-428C-8594-92C7AC04EB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1" authorId="0" shapeId="0" xr:uid="{D467DA0B-425F-4816-B88B-AE690AE020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1" authorId="0" shapeId="0" xr:uid="{6B2AD9D5-F1B4-4FE6-9290-089B5F14F4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1" authorId="0" shapeId="0" xr:uid="{10BC1699-96A1-4818-9F3A-D83248197A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81" authorId="0" shapeId="0" xr:uid="{57DE85AB-B248-4161-9146-75607D2638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81" authorId="0" shapeId="0" xr:uid="{13C0BE8B-362C-4F8A-B21D-3514F744A1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81" authorId="0" shapeId="0" xr:uid="{0A58194A-CA7C-4578-94E9-88429E1B9C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81" authorId="0" shapeId="0" xr:uid="{0EDCBDA8-D52B-4E00-B60E-B3E7B061A1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81" authorId="0" shapeId="0" xr:uid="{0456865A-FF07-48F4-985D-D77A95FD07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81" authorId="0" shapeId="0" xr:uid="{A0B233CD-3C7B-46DD-890B-267BB9200E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81" authorId="0" shapeId="0" xr:uid="{F47EB595-EFA6-47F8-A61D-994B0BB7119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81" authorId="0" shapeId="0" xr:uid="{B08D264F-0E38-454F-9D9B-E8A71D2A1C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81" authorId="0" shapeId="0" xr:uid="{E6611FCE-9D4F-4CA7-A63B-DD652048D8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81" authorId="0" shapeId="0" xr:uid="{1C0BABEF-9C6A-4E92-ADF2-51B5D9FCA23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2" authorId="0" shapeId="0" xr:uid="{6CB0823F-44A4-4BE5-9B1B-88EFDF0726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2" authorId="0" shapeId="0" xr:uid="{8BCB0F58-6BE7-4AA2-BC1E-25A89EBAA0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2" authorId="0" shapeId="0" xr:uid="{96AE6612-6F91-4A2F-84ED-7DC8A8F91F5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2" authorId="0" shapeId="0" xr:uid="{9494CBD3-A872-4A2F-86C3-4BC96BC105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2" authorId="0" shapeId="0" xr:uid="{E7AB7C43-23F5-46D5-AAE8-56DA846404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2" authorId="0" shapeId="0" xr:uid="{86C3F97B-7894-46AC-ADF6-0BBCBFC49A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82" authorId="0" shapeId="0" xr:uid="{E7E622FE-25D8-45A8-9316-E1F489460E4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82" authorId="0" shapeId="0" xr:uid="{BD236260-763F-413F-A8F0-F57D9475B0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82" authorId="0" shapeId="0" xr:uid="{D574A988-30D4-45B0-B607-1DCA955C6B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82" authorId="0" shapeId="0" xr:uid="{0A1BD39F-4839-41D0-925E-5CCC399F3B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82" authorId="0" shapeId="0" xr:uid="{B1A84109-FAAB-47F5-9F51-EF1D73D78A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82" authorId="0" shapeId="0" xr:uid="{F8B90F9D-F3AC-4EAD-A565-A8EBB55189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82" authorId="0" shapeId="0" xr:uid="{B5405AAD-0CCC-436C-97DC-459B8F18A46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82" authorId="0" shapeId="0" xr:uid="{7F083F1E-8F96-4E85-B9AD-6259C62868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82" authorId="0" shapeId="0" xr:uid="{FF39CE30-5A63-43F5-A8A0-466B5E20CE2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82" authorId="0" shapeId="0" xr:uid="{F4B0E886-EFAB-4D26-83D7-45BE1B80A2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3" authorId="0" shapeId="0" xr:uid="{3895217E-7C8C-499D-AFC8-C598B60FD2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3" authorId="0" shapeId="0" xr:uid="{E7B87B8C-D4AE-4A54-8B3C-CC8A4BC380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3" authorId="0" shapeId="0" xr:uid="{7D029101-5B0B-4F40-9D0A-1EC0F64952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3" authorId="0" shapeId="0" xr:uid="{90A8203B-B0C7-4522-A2DD-A453A172A0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3" authorId="0" shapeId="0" xr:uid="{0B363FE6-9DBC-4CF0-A623-CEED631EF9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3" authorId="0" shapeId="0" xr:uid="{969550E5-BFAD-47D2-B30C-FD92A3366D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83" authorId="0" shapeId="0" xr:uid="{58C47029-078C-4075-A9AD-5F266B28A1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83" authorId="0" shapeId="0" xr:uid="{509E1458-5971-42D5-BA0C-8D00CEE59C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83" authorId="0" shapeId="0" xr:uid="{15024FC3-CD1F-42BC-ADF6-C34353C08E4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83" authorId="0" shapeId="0" xr:uid="{CD7B002A-7B39-43D4-B129-84E359F631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83" authorId="0" shapeId="0" xr:uid="{EBDCDB23-6452-417E-909D-7CCF0134F0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83" authorId="0" shapeId="0" xr:uid="{6FF8AF96-A294-41FB-B081-3F936049813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83" authorId="0" shapeId="0" xr:uid="{33243CF9-40CA-4394-BEAF-032E3BF68D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83" authorId="0" shapeId="0" xr:uid="{C655011C-EAD5-4C3A-95E9-40A0CBD39F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83" authorId="0" shapeId="0" xr:uid="{7CE8196E-302B-4B51-B545-53698D6BCC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83" authorId="0" shapeId="0" xr:uid="{0E453C9D-1279-498B-AC4B-5E682737296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4" authorId="0" shapeId="0" xr:uid="{88CC3687-2A79-4CC9-AA3B-12135A69A06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4" authorId="0" shapeId="0" xr:uid="{C2F50213-C383-4499-934E-60F69F9005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4" authorId="0" shapeId="0" xr:uid="{0B697F75-630C-4A37-863D-DD5458D76B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4" authorId="0" shapeId="0" xr:uid="{1F3E5A55-88B3-4B72-9D50-9EC116B583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4" authorId="0" shapeId="0" xr:uid="{6016B9BF-89F7-439B-AD66-3A174CBCAE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4" authorId="0" shapeId="0" xr:uid="{466CA8E6-A82D-47B6-8DF6-3A6F746568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84" authorId="0" shapeId="0" xr:uid="{DD319850-85B2-4C1E-BAF3-977879C069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84" authorId="0" shapeId="0" xr:uid="{DB25D230-EB79-4710-8333-FBA6E5CE8C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84" authorId="0" shapeId="0" xr:uid="{4B1EDC81-9976-43C1-9351-4BA0D24872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84" authorId="0" shapeId="0" xr:uid="{459EF663-8A2B-478E-BBBF-5A970CDC70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84" authorId="0" shapeId="0" xr:uid="{D141B6C3-9DB0-4CF7-AB14-250F978C33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84" authorId="0" shapeId="0" xr:uid="{EA8E21FA-D851-4D6C-B9BC-6EFA80AC2F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84" authorId="0" shapeId="0" xr:uid="{1ABBAD37-4B68-4C8F-A345-779415FA92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84" authorId="0" shapeId="0" xr:uid="{CFA6BA45-5FE1-48EE-9564-7B88BFEEA1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84" authorId="0" shapeId="0" xr:uid="{4B1899A3-451F-42C3-8FEC-190B03F9C2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84" authorId="0" shapeId="0" xr:uid="{54456BC1-FC36-4D30-8E73-635FB7DA02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5" authorId="0" shapeId="0" xr:uid="{1426AF51-9EF0-47B1-8369-C91C7ED6990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5" authorId="0" shapeId="0" xr:uid="{CC86F9B3-D681-4C9C-A879-22C92E56EA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5" authorId="0" shapeId="0" xr:uid="{72B131FF-E677-4D53-9021-9B3BEEF2A8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5" authorId="0" shapeId="0" xr:uid="{9663BC3F-FA74-420C-97DF-F4B453380B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5" authorId="0" shapeId="0" xr:uid="{95FFF562-1D10-4427-B6FD-0F79E286425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5" authorId="0" shapeId="0" xr:uid="{46F12AFD-6315-48CA-9B32-AD13F5BCF9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85" authorId="0" shapeId="0" xr:uid="{3725ED41-4C06-41A4-9AC5-E4A0984396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85" authorId="0" shapeId="0" xr:uid="{B2A8251C-BBF4-424A-9DCE-635AA5B4BF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85" authorId="0" shapeId="0" xr:uid="{075727D0-B0E0-4B9C-B68D-57F7742FA4C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85" authorId="0" shapeId="0" xr:uid="{61721C4A-CE7D-4A0C-93C8-9301BF9417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85" authorId="0" shapeId="0" xr:uid="{0DC63428-1229-4F12-8C4C-77D1615811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85" authorId="0" shapeId="0" xr:uid="{751E0A4C-FF73-4DC4-9F25-AEDA2C4286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85" authorId="0" shapeId="0" xr:uid="{A3C3DE78-D8F7-4359-9AA4-FFEF717D43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85" authorId="0" shapeId="0" xr:uid="{84DE09EE-7FC2-44DF-B8E2-F3099ED1FD1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85" authorId="0" shapeId="0" xr:uid="{4FDB5055-91FB-4188-9D57-A25B09EB464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85" authorId="0" shapeId="0" xr:uid="{811428EB-A124-4D0E-86FE-0C85E4ED48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6" authorId="0" shapeId="0" xr:uid="{107565F9-0000-46B3-AE34-A5EAF6147B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86" authorId="0" shapeId="0" xr:uid="{AE58ADEE-1655-4153-A355-F367E761BB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86" authorId="0" shapeId="0" xr:uid="{8286A809-DA39-4722-BDF2-A00E4B32E2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86" authorId="0" shapeId="0" xr:uid="{34A03289-4113-4E40-88D7-9BC8AE4C11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86" authorId="0" shapeId="0" xr:uid="{09743417-5613-479E-82D9-9938E3BC93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86" authorId="0" shapeId="0" xr:uid="{5639B8A4-C395-49A7-AB50-BD2FAC93BD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86" authorId="0" shapeId="0" xr:uid="{8AA34A63-BE3B-4EBA-B211-626646B2ADA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86" authorId="0" shapeId="0" xr:uid="{62FFB700-793D-4208-B807-762C2A60F85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86" authorId="0" shapeId="0" xr:uid="{21949EA0-2167-4817-A82E-B3B5324CE5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86" authorId="0" shapeId="0" xr:uid="{113023BE-0121-4EE8-B944-96717DC16D9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86" authorId="0" shapeId="0" xr:uid="{467231CE-8D21-4C5D-947F-050509A965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86" authorId="0" shapeId="0" xr:uid="{19E0241E-E28E-4FFC-81A0-B6B7A152C9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86" authorId="0" shapeId="0" xr:uid="{2AA50173-3EB9-4365-8D69-86ED6A0D145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86" authorId="0" shapeId="0" xr:uid="{357561C6-70AE-4247-BCBB-A5FC74F61A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86" authorId="0" shapeId="0" xr:uid="{D839E199-F87D-4372-90B2-54802DD998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86" authorId="0" shapeId="0" xr:uid="{304C58A3-3FAC-4394-9C71-44294AE9AB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87" authorId="0" shapeId="0" xr:uid="{C9674270-DF70-4606-8BAB-60FA48272F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7" authorId="0" shapeId="0" xr:uid="{F03DC0E9-0EE8-4471-A498-B5E1475274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7" authorId="0" shapeId="0" xr:uid="{9FFDACF8-75D5-4DE0-91B2-56F7F2A3A4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7" authorId="0" shapeId="0" xr:uid="{C9EEF0B2-B814-465C-92EC-B41202F076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7" authorId="0" shapeId="0" xr:uid="{36A44E73-93F2-42AE-B4D3-78E803A224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7" authorId="0" shapeId="0" xr:uid="{158EC8ED-BF50-4D51-830F-B3B802EDA38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7" authorId="0" shapeId="0" xr:uid="{19A0F656-0DE2-4E8D-9F23-7B7E384186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7" authorId="0" shapeId="0" xr:uid="{BCD1A5B5-3641-4BED-BB20-BD9C092CE6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7" authorId="0" shapeId="0" xr:uid="{CA9A3367-F98C-4E98-BDDF-B3D0302C30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7" authorId="0" shapeId="0" xr:uid="{75B09FBC-C309-4047-B97A-6CCF69F348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7" authorId="0" shapeId="0" xr:uid="{2FC47BE4-2978-4305-888A-48462DDB73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87" authorId="0" shapeId="0" xr:uid="{C846140B-1EEB-48DE-9CE3-115498C5F2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87" authorId="0" shapeId="0" xr:uid="{730A6731-DB88-4239-A43D-78C94335A0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87" authorId="0" shapeId="0" xr:uid="{5A9890B8-24B2-4A60-B034-F32DA13A7E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87" authorId="0" shapeId="0" xr:uid="{643E5F77-5D34-46F9-A9BF-2064AFD2D7C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87" authorId="0" shapeId="0" xr:uid="{223369B0-170F-480D-A9B2-03257CF43F4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8" authorId="0" shapeId="0" xr:uid="{F7C63BED-3372-489C-9FC2-22819BFC03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8" authorId="0" shapeId="0" xr:uid="{48428220-F606-4A52-924D-62BF0048DC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8" authorId="0" shapeId="0" xr:uid="{36BD7BE9-D5B4-46D2-9868-35EE75912A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8" authorId="0" shapeId="0" xr:uid="{9A09436E-4521-4BD3-8AB1-56852383636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8" authorId="0" shapeId="0" xr:uid="{D9AD5CA1-49F4-468D-AA59-A61316B5F4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8" authorId="0" shapeId="0" xr:uid="{F3923EE5-8398-45E6-8AEF-2EDD985B55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8" authorId="0" shapeId="0" xr:uid="{864A96D2-E76D-40A6-B97C-9FED744A49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8" authorId="0" shapeId="0" xr:uid="{FE08E8A4-7E2E-4C83-9DE3-9A8BD49DF0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8" authorId="0" shapeId="0" xr:uid="{015F2FA9-F08D-4A36-90C5-9B401B59FF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8" authorId="0" shapeId="0" xr:uid="{EB673E78-6869-4B22-B583-F5740FFA6D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8" authorId="0" shapeId="0" xr:uid="{FD0E143B-5E0A-4E2F-835A-4E01BD58FD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88" authorId="0" shapeId="0" xr:uid="{D62297DD-290A-4428-BA0A-1D65399777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88" authorId="0" shapeId="0" xr:uid="{82877878-93EE-479C-AD51-042CE7C4D8E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88" authorId="0" shapeId="0" xr:uid="{51A4908A-0012-4AF1-8BBB-FBCBE1CF65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88" authorId="0" shapeId="0" xr:uid="{F538040F-9A0B-456F-B12F-322B62A6063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88" authorId="0" shapeId="0" xr:uid="{E8E1E697-C37F-4C80-BE0F-D35E99224C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9" authorId="0" shapeId="0" xr:uid="{CA278502-DCE8-45A5-9552-8ED77FA5FB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9" authorId="0" shapeId="0" xr:uid="{C2477553-FE20-4E5C-8CCD-AC9F0BD4EC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9" authorId="0" shapeId="0" xr:uid="{504C9198-0AF6-4EC2-AB15-B36970A9AC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9" authorId="0" shapeId="0" xr:uid="{5A272FE5-2EEE-47E6-B1E3-55EAC5283F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9" authorId="0" shapeId="0" xr:uid="{02F28902-43EE-4813-AF9D-2AC983E0AB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9" authorId="0" shapeId="0" xr:uid="{70877B0D-956D-4021-A043-2621C2A5BE1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9" authorId="0" shapeId="0" xr:uid="{123D70DC-AB0F-46AE-A026-FAF485FFED8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9" authorId="0" shapeId="0" xr:uid="{00AEC654-9C4F-433C-A35A-D35580CF3C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9" authorId="0" shapeId="0" xr:uid="{6C792985-84A6-4857-8E6D-F867431760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9" authorId="0" shapeId="0" xr:uid="{FC26CDBB-481C-41E3-9A8A-8728A998F2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9" authorId="0" shapeId="0" xr:uid="{DB18F0BB-18F2-4E07-93CF-161848A84B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89" authorId="0" shapeId="0" xr:uid="{305C9CB3-45E5-41A7-AED3-59C5F13BA3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89" authorId="0" shapeId="0" xr:uid="{FC1E63FA-A59A-450B-828A-055A069AE62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89" authorId="0" shapeId="0" xr:uid="{2268293F-8F15-452C-9F07-62B655909D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89" authorId="0" shapeId="0" xr:uid="{DAB65680-4F2D-4EC0-85D9-7FF5CB4D6F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89" authorId="0" shapeId="0" xr:uid="{23A395B6-6529-4D00-86B0-395C0F224B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0" authorId="0" shapeId="0" xr:uid="{4CFDAE54-21E5-490A-B87C-B51E646AF3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0" authorId="0" shapeId="0" xr:uid="{62643A65-090A-4F0D-8080-4A63A01F84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0" authorId="0" shapeId="0" xr:uid="{F8CA2CEF-A31E-4E2F-8BB4-5951EF8E187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0" authorId="0" shapeId="0" xr:uid="{E2E7DB80-743B-4A1D-B2F1-2E508499A6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0" authorId="0" shapeId="0" xr:uid="{8F19808A-F632-453C-91B3-6051476930F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0" authorId="0" shapeId="0" xr:uid="{AA1DF54A-EF39-4EFA-A4FE-CEB7B8C668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90" authorId="0" shapeId="0" xr:uid="{ADCE29CA-ADC3-4DD7-BCB1-DFD0E67A18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90" authorId="0" shapeId="0" xr:uid="{A356F01A-DEF3-4183-997E-C44A57D3C3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90" authorId="0" shapeId="0" xr:uid="{295D88B8-6AB8-42E3-B3B7-FDA5801B3D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90" authorId="0" shapeId="0" xr:uid="{1A2CD157-2779-4FC4-AB3D-7FDE5A8111E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90" authorId="0" shapeId="0" xr:uid="{176E2A1F-7DA7-46DE-B171-61F6DEF9C75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90" authorId="0" shapeId="0" xr:uid="{F1638F8A-E933-4E0D-9604-32C2845C77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90" authorId="0" shapeId="0" xr:uid="{171902C2-9F76-4978-AA5F-CFD29ACE4CB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90" authorId="0" shapeId="0" xr:uid="{7D9C6F71-EB69-4006-8AF3-C787740F13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90" authorId="0" shapeId="0" xr:uid="{80D870AA-80E8-461B-9B89-04B2C19F6D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90" authorId="0" shapeId="0" xr:uid="{42267E13-E10C-41FF-91A3-1FB129C87C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1" authorId="0" shapeId="0" xr:uid="{069E0BED-85E7-4DAC-B163-872EFF42AB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1" authorId="0" shapeId="0" xr:uid="{BF519993-A299-4E88-992B-B3FD605C7AC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1" authorId="0" shapeId="0" xr:uid="{F6F52675-2755-472A-8E03-4DCCDF0348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1" authorId="0" shapeId="0" xr:uid="{9C67940D-CC31-4A3C-B137-E4FDB7F920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1" authorId="0" shapeId="0" xr:uid="{85D6CEA1-EB56-450C-BB75-136D6439B3B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1" authorId="0" shapeId="0" xr:uid="{82A5F8B3-6BF7-49CA-B286-81947E7FF3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91" authorId="0" shapeId="0" xr:uid="{E66B99A9-CDD7-4687-8947-C208A45C86E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91" authorId="0" shapeId="0" xr:uid="{94028800-E357-4ACD-9918-0B561C7636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91" authorId="0" shapeId="0" xr:uid="{9AD88745-BB6A-4B53-82B0-1936ABCF70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91" authorId="0" shapeId="0" xr:uid="{22C63638-FAFC-4407-B263-935C27F440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91" authorId="0" shapeId="0" xr:uid="{89719593-038D-4099-95A7-AA8D1BACB9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91" authorId="0" shapeId="0" xr:uid="{DCE7D091-6AC7-4482-B363-8E7672111E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91" authorId="0" shapeId="0" xr:uid="{C797BE8D-52D5-4C7A-B587-4F6BBC157AA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91" authorId="0" shapeId="0" xr:uid="{C502D53A-7D97-4149-B991-E06F370DD65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91" authorId="0" shapeId="0" xr:uid="{20DB770E-7A4D-43B2-890A-A3796451F5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91" authorId="0" shapeId="0" xr:uid="{2576D42D-E922-4960-BF2B-D84A2CF989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2" authorId="0" shapeId="0" xr:uid="{D9849B98-D96F-43CE-99FD-0B065CC16EA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2" authorId="0" shapeId="0" xr:uid="{E3EB2D81-60D8-4789-AE8C-79A27334F3B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2" authorId="0" shapeId="0" xr:uid="{5E9511D0-0929-4388-A512-B6A2044EA7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2" authorId="0" shapeId="0" xr:uid="{BBF7D479-341A-4C14-9FAC-E9B79D5F32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2" authorId="0" shapeId="0" xr:uid="{042A2F5A-89B0-4890-9155-D632E1CA6C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2" authorId="0" shapeId="0" xr:uid="{B7E99FC7-3A1B-4B85-8532-73048B40DB8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92" authorId="0" shapeId="0" xr:uid="{393C8F86-7ECA-4735-AB5F-4DE1C99D82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92" authorId="0" shapeId="0" xr:uid="{9A509151-6FCF-4DD4-B389-E5971D8FED8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92" authorId="0" shapeId="0" xr:uid="{36B11DC1-83E5-46C5-ADC9-E8D4F43AE5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92" authorId="0" shapeId="0" xr:uid="{4823ADDD-9764-43CF-8051-E064215D7F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92" authorId="0" shapeId="0" xr:uid="{0FEEED82-836F-4D3E-92AA-C2774A3D82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92" authorId="0" shapeId="0" xr:uid="{D62060FE-F34C-4D95-A2E4-41316806F57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92" authorId="0" shapeId="0" xr:uid="{10BE2E2B-4EF6-4C0E-AF1A-E205B7A93A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92" authorId="0" shapeId="0" xr:uid="{58A4F2D6-971B-481F-BD4D-B9980DED53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92" authorId="0" shapeId="0" xr:uid="{FACE9179-6014-4B25-BED9-0E79AE27DE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92" authorId="0" shapeId="0" xr:uid="{B3B85DAE-FE3E-4389-8DA8-C943F47699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3" authorId="0" shapeId="0" xr:uid="{6D759507-032A-4960-B067-EED8BAF899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3" authorId="0" shapeId="0" xr:uid="{57858EE6-8A9E-402B-93AA-7463EC09952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3" authorId="0" shapeId="0" xr:uid="{CF28C022-09C1-4A91-812E-0F04BF535E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3" authorId="0" shapeId="0" xr:uid="{2B04B9B4-A635-4E08-80B0-B7A82C2E8C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3" authorId="0" shapeId="0" xr:uid="{9D42597B-2315-48EF-9A9F-FD1CCA13FA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3" authorId="0" shapeId="0" xr:uid="{660BFB6C-A1A0-4A29-B0EB-4D6B5BFED2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93" authorId="0" shapeId="0" xr:uid="{B3C67189-FFF5-4850-86E8-FA6FB19280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93" authorId="0" shapeId="0" xr:uid="{ED650366-D556-407D-B134-544BB944D7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93" authorId="0" shapeId="0" xr:uid="{1ADA6291-B317-4FAF-BC85-CE8ED360E1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93" authorId="0" shapeId="0" xr:uid="{9BAA5F91-B444-4A53-B3A9-2ACC738B18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93" authorId="0" shapeId="0" xr:uid="{13A12983-5AD7-4DDA-990F-729F55D3F3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93" authorId="0" shapeId="0" xr:uid="{974BBA05-DBE2-4498-BFBB-DE7C3335890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93" authorId="0" shapeId="0" xr:uid="{B1D4C1A8-2D53-4BD7-98B5-8CF907E83E1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93" authorId="0" shapeId="0" xr:uid="{76423CAA-54BB-4C05-9F94-ACA3A32903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93" authorId="0" shapeId="0" xr:uid="{33EC80C3-99B6-45B9-8CEC-9CDFCD94F4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93" authorId="0" shapeId="0" xr:uid="{B5510D53-B7CE-4339-8CCB-2FB444A61DB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4" authorId="0" shapeId="0" xr:uid="{56C70F42-FACC-434F-915E-50F99B76AC3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4" authorId="0" shapeId="0" xr:uid="{15CF13FC-790E-4E81-ADE3-78F2CB184D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4" authorId="0" shapeId="0" xr:uid="{A991E18D-5684-495D-BBF6-5CC707E489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4" authorId="0" shapeId="0" xr:uid="{972105E4-A77F-48F1-8FCA-A6E5C14919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4" authorId="0" shapeId="0" xr:uid="{5FCC86B3-4F00-4A7B-B811-5D1C5339943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4" authorId="0" shapeId="0" xr:uid="{0813EC53-5400-46D5-87BA-35390D1BC0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94" authorId="0" shapeId="0" xr:uid="{4F103A7C-020E-4540-9888-871F2BBFB1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94" authorId="0" shapeId="0" xr:uid="{E9925170-3027-41F3-920C-78CA92F67E2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94" authorId="0" shapeId="0" xr:uid="{E36787DF-09B4-4174-AFD7-4576026EE4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94" authorId="0" shapeId="0" xr:uid="{69387BE7-C33E-45B4-8798-645B1C9D66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94" authorId="0" shapeId="0" xr:uid="{CE196475-3DA9-4EAA-ADE4-CE4030F1ED0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94" authorId="0" shapeId="0" xr:uid="{DB13D45A-776A-4268-A575-A4C18DB6BED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94" authorId="0" shapeId="0" xr:uid="{9DE9EC9A-9CDF-4B02-BCD1-607AC87F12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94" authorId="0" shapeId="0" xr:uid="{2453CA16-3BAF-46AB-BD50-C45859A435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94" authorId="0" shapeId="0" xr:uid="{96D11910-71A3-454E-BC9D-4BF6B90F73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94" authorId="0" shapeId="0" xr:uid="{5A77F03D-47A2-47D1-986E-607546C944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7" authorId="0" shapeId="0" xr:uid="{D32C070A-DC8E-4D2C-BC13-FFF242792C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7" authorId="0" shapeId="0" xr:uid="{0E872963-8655-4199-A462-E4A0CD6BD0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7" authorId="0" shapeId="0" xr:uid="{C7A629F6-4F09-46DC-888A-FE5784F805C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7" authorId="0" shapeId="0" xr:uid="{5741DE52-EA69-4BC9-B509-A483386CAF3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7" authorId="0" shapeId="0" xr:uid="{8FD9AF6D-BAA8-4921-88D2-2DC0209ACD4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7" authorId="0" shapeId="0" xr:uid="{4903F510-F0AE-4946-8E2A-E389EE6CA7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97" authorId="0" shapeId="0" xr:uid="{04A763ED-FF5A-4231-9B63-C068653822F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97" authorId="0" shapeId="0" xr:uid="{E9D563A7-2A7C-48C2-BD5E-C25572E173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97" authorId="0" shapeId="0" xr:uid="{0082B318-BA4C-432B-8DCD-6C84D0BC29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97" authorId="0" shapeId="0" xr:uid="{12DDA41D-1BB7-484D-84F3-3F54539FD6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97" authorId="0" shapeId="0" xr:uid="{BA3A7EFB-5744-4682-9CAE-210084D13FA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97" authorId="0" shapeId="0" xr:uid="{D7D1A8AA-656F-424A-9592-9DB53AECDD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97" authorId="0" shapeId="0" xr:uid="{36EAA28C-BC08-4117-BAB4-1517FA9F576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97" authorId="0" shapeId="0" xr:uid="{9903DB68-246D-452B-A612-77634533E20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97" authorId="0" shapeId="0" xr:uid="{779F5355-92CB-4B11-A0D5-3A5DD1D07A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97" authorId="0" shapeId="0" xr:uid="{1F50B0AE-0E8F-4141-8148-3D366B95792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8" authorId="0" shapeId="0" xr:uid="{39A3E455-11A7-4C42-A107-FF546EF2DC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8" authorId="0" shapeId="0" xr:uid="{F48F16D5-4ECC-4405-AD22-AA8D6B440A5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8" authorId="0" shapeId="0" xr:uid="{72B9EBAD-C455-4B3D-9082-52C7FBC4D5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8" authorId="0" shapeId="0" xr:uid="{DBCE8A46-81DE-4292-8EDB-7431692660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8" authorId="0" shapeId="0" xr:uid="{71425B38-C626-42A8-9F21-5E2C9DF194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8" authorId="0" shapeId="0" xr:uid="{0800833D-C393-41E7-B34E-EA66A759A1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98" authorId="0" shapeId="0" xr:uid="{5606E2E0-CC7A-4411-B65A-E8CB0BD581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98" authorId="0" shapeId="0" xr:uid="{41115EAB-6031-4C0C-8E21-7EFF18991C8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98" authorId="0" shapeId="0" xr:uid="{466D46C7-F2E1-4E76-828B-A324123D588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98" authorId="0" shapeId="0" xr:uid="{EBA7A5DE-8489-4818-A443-61FC25F1C65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98" authorId="0" shapeId="0" xr:uid="{1A8B2FCD-DA54-4A8A-AFCA-B0ED76B708A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98" authorId="0" shapeId="0" xr:uid="{139DD186-2097-454B-A534-359819B21E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98" authorId="0" shapeId="0" xr:uid="{6D1F95D3-DC80-4535-A410-C29F0DB9B34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98" authorId="0" shapeId="0" xr:uid="{5BBA7F89-2C39-4FD2-973C-63EE687E26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98" authorId="0" shapeId="0" xr:uid="{7E3E770C-6D11-4D4F-B7BB-8C02769619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98" authorId="0" shapeId="0" xr:uid="{9479BFE8-3376-4A72-843F-1628E4D0F3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9" authorId="0" shapeId="0" xr:uid="{FF12AE77-B8BA-4616-9D57-564679F5DD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99" authorId="0" shapeId="0" xr:uid="{52179E15-8B41-40EA-92AD-7A934D0CACC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99" authorId="0" shapeId="0" xr:uid="{F986BD5D-D550-420A-B368-738091107C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99" authorId="0" shapeId="0" xr:uid="{84DDB529-C7AA-4889-8000-61F147E5EA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99" authorId="0" shapeId="0" xr:uid="{EAAE08B0-E6F6-4BA2-899C-57CB99FFCF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99" authorId="0" shapeId="0" xr:uid="{25D97454-7A81-434E-8960-49A62605E5F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99" authorId="0" shapeId="0" xr:uid="{6AFCB1E6-BC59-48FC-AE62-D01597CCB7D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99" authorId="0" shapeId="0" xr:uid="{0FBF4EF9-C3E3-43AF-A132-7DBB68D03D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99" authorId="0" shapeId="0" xr:uid="{F1C0C1B2-D611-4503-A30E-C925A953E5E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99" authorId="0" shapeId="0" xr:uid="{A966DEB7-5BE3-44EB-A4EB-506902E7788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99" authorId="0" shapeId="0" xr:uid="{B7A8FE75-3229-417A-BA7D-C0730FE0F7F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99" authorId="0" shapeId="0" xr:uid="{8D64F03B-2A60-418C-A6C1-D8358CF7AD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99" authorId="0" shapeId="0" xr:uid="{68F81DFA-D5A8-4165-95E9-EEF2546452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99" authorId="0" shapeId="0" xr:uid="{26EB69E1-5A81-4BE3-BBFF-BD630649B0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99" authorId="0" shapeId="0" xr:uid="{62C8641D-3D17-447B-B459-D45FE459CBE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99" authorId="0" shapeId="0" xr:uid="{75F1293E-AA64-46E3-96D6-18EAA26A8B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0" authorId="0" shapeId="0" xr:uid="{928B8396-A200-4CA1-BC7A-F3674479E67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0" authorId="0" shapeId="0" xr:uid="{E6030025-1115-435C-BD36-3498C88A882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0" authorId="0" shapeId="0" xr:uid="{05A2099A-63CD-4D5F-8B85-1FA7D31DA3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0" authorId="0" shapeId="0" xr:uid="{522D77DF-05D0-4A40-A060-7648CAB8F6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0" authorId="0" shapeId="0" xr:uid="{B2A50B07-7A51-4D33-B381-1D9B5B499FA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0" authorId="0" shapeId="0" xr:uid="{FA215F69-3FED-4563-834B-C1FA797A819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00" authorId="0" shapeId="0" xr:uid="{DABD0D8F-4A5E-4E97-8FDD-84FF88BD1B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00" authorId="0" shapeId="0" xr:uid="{B19A388F-A658-4F8B-9E14-2896AE6A3E0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00" authorId="0" shapeId="0" xr:uid="{0ADAB605-54AA-4894-A74E-CF4D23DBFD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00" authorId="0" shapeId="0" xr:uid="{B253BE2F-D8C6-411C-B6A0-748FC78437A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00" authorId="0" shapeId="0" xr:uid="{92EF7661-398D-4333-8962-D96AA340A9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00" authorId="0" shapeId="0" xr:uid="{48F6F371-5208-4DB2-98F5-E21F9DCB90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00" authorId="0" shapeId="0" xr:uid="{84D238D8-609E-4025-936E-780107AB752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00" authorId="0" shapeId="0" xr:uid="{7F745A3A-48CB-4022-B3AB-79C9C51E4E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00" authorId="0" shapeId="0" xr:uid="{53CD1035-6AA6-48C8-A8FE-9FDC4197408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00" authorId="0" shapeId="0" xr:uid="{53DAEC10-3BF7-42A0-8B98-58565D15FB3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1" authorId="0" shapeId="0" xr:uid="{26B377A3-0FA4-471B-9EA0-F05B92D6EE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1" authorId="0" shapeId="0" xr:uid="{64BEC8D5-980C-4B87-8E54-1E3FE6B55A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1" authorId="0" shapeId="0" xr:uid="{65CA9BE0-FADD-4A8B-A8C7-AC78A0A0D1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1" authorId="0" shapeId="0" xr:uid="{6F7CE80C-E462-48CB-A608-75559B7076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1" authorId="0" shapeId="0" xr:uid="{20E9225D-2E19-4DFF-84DB-A46F2A988F6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1" authorId="0" shapeId="0" xr:uid="{BEAC3B34-5FAC-49BB-B693-E24A2A3072C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1" authorId="0" shapeId="0" xr:uid="{04C65B94-8040-460C-9225-E4FE7E7BD8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1" authorId="0" shapeId="0" xr:uid="{2B51F5FE-93A9-4985-9BE1-A4D4C5516F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1" authorId="0" shapeId="0" xr:uid="{EC3E2C7B-EAE3-4B70-886A-BE761FA279B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1" authorId="0" shapeId="0" xr:uid="{41CADF90-A8CE-4D91-80AC-75B45FBA9C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1" authorId="0" shapeId="0" xr:uid="{56DBCACF-55B5-4C61-A951-DE58653EC7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01" authorId="0" shapeId="0" xr:uid="{C9575943-0121-413B-A9D4-6673FE2D6EA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01" authorId="0" shapeId="0" xr:uid="{B6A6ACDF-F627-4996-9035-AF7AB09089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01" authorId="0" shapeId="0" xr:uid="{24081C79-07A3-4B7B-B0AB-4410BAB848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01" authorId="0" shapeId="0" xr:uid="{B9C22DCF-625E-4943-BBA2-07799C71CD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01" authorId="0" shapeId="0" xr:uid="{F83CB1D9-7D7E-45DC-A4C7-688CC489F6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2" authorId="0" shapeId="0" xr:uid="{50FB5DDC-84BD-491F-9369-D20D43E6D5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2" authorId="0" shapeId="0" xr:uid="{ABD90B63-EF63-44EB-B471-0DA7E56777A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2" authorId="0" shapeId="0" xr:uid="{F5B83BB2-EFBE-47CB-ADFF-172A68B016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2" authorId="0" shapeId="0" xr:uid="{815503C4-9BED-48F6-84B4-0895F68B89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2" authorId="0" shapeId="0" xr:uid="{5D4C9AF2-1287-4B09-BC8E-7E68881460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2" authorId="0" shapeId="0" xr:uid="{B6BB6528-15C2-4045-A63E-5F78119618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2" authorId="0" shapeId="0" xr:uid="{EDADE48A-1603-4D05-A9CE-B1E9C1D419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2" authorId="0" shapeId="0" xr:uid="{C91E358E-C828-4E47-A768-9605FDE726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2" authorId="0" shapeId="0" xr:uid="{A6A0DB9F-7480-453F-89C1-5E696BC546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2" authorId="0" shapeId="0" xr:uid="{06D4FB95-5521-4917-BB16-4314CD5FD7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2" authorId="0" shapeId="0" xr:uid="{E2C27466-0C8B-40AD-ADD8-88D23569EE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02" authorId="0" shapeId="0" xr:uid="{6F7B401A-BB01-4802-AEE1-7C94B9BC15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02" authorId="0" shapeId="0" xr:uid="{C2224D52-FA5A-4788-8036-EEBC10E9E3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02" authorId="0" shapeId="0" xr:uid="{DEAB32EB-AB69-4717-BCAC-A88144E2EF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02" authorId="0" shapeId="0" xr:uid="{FDBAA808-466D-4537-8B45-9F8E3C54B4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02" authorId="0" shapeId="0" xr:uid="{8C82AAD0-F590-495A-84DE-DB9DEDDFF3F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3" authorId="0" shapeId="0" xr:uid="{5585EE78-B141-4278-AD9F-67341E52E4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3" authorId="0" shapeId="0" xr:uid="{F35F6EC8-41CD-4FC1-8E27-909B86AFBD5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3" authorId="0" shapeId="0" xr:uid="{A6B60410-74B7-4B5F-AF90-89EF26D383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3" authorId="0" shapeId="0" xr:uid="{1F055539-4561-45BF-A7CF-D3841FA463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3" authorId="0" shapeId="0" xr:uid="{B2D35843-D7DF-467E-AD75-AEE9E1E11D2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3" authorId="0" shapeId="0" xr:uid="{F29F75C3-DF3C-49B6-B4BE-DB7B6CB8D8D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3" authorId="0" shapeId="0" xr:uid="{6EC91290-D3F7-4410-BEF3-F01796407F4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3" authorId="0" shapeId="0" xr:uid="{C9D3688B-2597-4F7C-AD74-EBAC512218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3" authorId="0" shapeId="0" xr:uid="{B90BA5C2-12BB-48CD-B382-EDDE05A508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3" authorId="0" shapeId="0" xr:uid="{92B1FE3D-2271-4356-B8BF-1D6760E516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3" authorId="0" shapeId="0" xr:uid="{EDD4CEAC-D7EF-408E-AD83-062EB2E577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03" authorId="0" shapeId="0" xr:uid="{07AF48FD-47A6-4DEC-8ADA-C025BAB51C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03" authorId="0" shapeId="0" xr:uid="{C956F8FC-D956-4A5E-8869-E0CE897D40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03" authorId="0" shapeId="0" xr:uid="{DCFBB844-3C25-4445-8120-5B9145B1B6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03" authorId="0" shapeId="0" xr:uid="{E9BA83AA-0320-4CD7-BB16-51BEE44EBB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03" authorId="0" shapeId="0" xr:uid="{5254B533-A7DE-4CB3-B4C9-95DE54105CA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4" authorId="0" shapeId="0" xr:uid="{097496E9-D294-4EAE-9413-C1ED9E6DD65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4" authorId="0" shapeId="0" xr:uid="{D6927D31-B516-488A-9E31-C2BFFBA362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4" authorId="0" shapeId="0" xr:uid="{E7BAAC67-D6F5-4F5B-B142-060C4F55E3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4" authorId="0" shapeId="0" xr:uid="{8E657934-8C98-4140-BED5-3E1BA5D56C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4" authorId="0" shapeId="0" xr:uid="{21E88DC3-0343-44A5-A2F7-40A859C15A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4" authorId="0" shapeId="0" xr:uid="{10785208-6D10-45CE-85D3-343290CAC7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04" authorId="0" shapeId="0" xr:uid="{B2F87E67-150B-467F-91E3-3811F3F343A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04" authorId="0" shapeId="0" xr:uid="{2ACF15EB-9F1C-4B0E-9CEF-144BBA8D3E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04" authorId="0" shapeId="0" xr:uid="{8CC9842F-01E4-4E9B-95B6-1CAA5EFDB1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04" authorId="0" shapeId="0" xr:uid="{1C9B895B-D7A2-42B5-BE84-C364F20F1A1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04" authorId="0" shapeId="0" xr:uid="{2E5017B5-6190-41A4-81BD-AF029771D1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04" authorId="0" shapeId="0" xr:uid="{8D2CF035-1F21-41B9-80FE-BA798C9FD68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04" authorId="0" shapeId="0" xr:uid="{065AFDF0-A0FC-487B-9C43-EC029190FBD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04" authorId="0" shapeId="0" xr:uid="{CE65918F-D064-4080-811A-0EC74A44C86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04" authorId="0" shapeId="0" xr:uid="{F2D37BCD-0FA2-44EF-8BFF-588A9A92C70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04" authorId="0" shapeId="0" xr:uid="{3035C39A-EA66-4453-B1DD-1E35F81FCE9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5" authorId="0" shapeId="0" xr:uid="{637A85B1-D12A-47EE-A7E1-5E246C3460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5" authorId="0" shapeId="0" xr:uid="{E629099A-822A-4DEB-AB9F-4AF7EBE639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5" authorId="0" shapeId="0" xr:uid="{7F7198CB-B2FF-43CD-968C-6B88C1F49D1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5" authorId="0" shapeId="0" xr:uid="{FC98A9B8-49AD-4965-A135-489B36818C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5" authorId="0" shapeId="0" xr:uid="{80912B83-32A8-4EA8-89BE-088E48ABA8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5" authorId="0" shapeId="0" xr:uid="{74442206-ED7C-477C-B55F-4528C9AC69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05" authorId="0" shapeId="0" xr:uid="{454F3B5A-68EB-47E6-8F56-ABB5DEBD482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05" authorId="0" shapeId="0" xr:uid="{D1144CC1-9A29-4A0B-98F6-4AEAF40577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05" authorId="0" shapeId="0" xr:uid="{5601C1F0-C664-4A67-B121-0A648B7F33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05" authorId="0" shapeId="0" xr:uid="{31B12CC9-D7DD-4672-B468-D7F5D47410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05" authorId="0" shapeId="0" xr:uid="{A37AD506-F52A-42D9-B2BD-68EA1F3AEB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05" authorId="0" shapeId="0" xr:uid="{C9213124-A48B-49C7-A36C-59DF6270DE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05" authorId="0" shapeId="0" xr:uid="{F223F5CF-F0E1-4A3A-A9E4-335D5A869C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05" authorId="0" shapeId="0" xr:uid="{A2BE5BD4-E42B-4EAC-A9D4-CDD6CFEE5F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05" authorId="0" shapeId="0" xr:uid="{2CF1AFF1-BB7D-4B46-B931-9638C19753C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05" authorId="0" shapeId="0" xr:uid="{92C45DFA-5DEA-4FFA-95D9-D475AD97DCF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6" authorId="0" shapeId="0" xr:uid="{CB62FD40-9430-46C3-A4DE-9589FA272CC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6" authorId="0" shapeId="0" xr:uid="{97A43B10-09E1-4029-9A3D-78E589FF002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6" authorId="0" shapeId="0" xr:uid="{CFED9889-B92C-44A9-9B44-99CCA87620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6" authorId="0" shapeId="0" xr:uid="{15294137-278D-4367-9A3E-22A25D6C7F7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6" authorId="0" shapeId="0" xr:uid="{3226F20D-1917-49D0-9678-233D073C21B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6" authorId="0" shapeId="0" xr:uid="{8DD69A21-7949-4A44-A412-E64D414612A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06" authorId="0" shapeId="0" xr:uid="{84A49EF7-F6BB-45EC-9D40-23594525A8D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06" authorId="0" shapeId="0" xr:uid="{812235EB-84C3-4197-8D09-A9F45921B38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06" authorId="0" shapeId="0" xr:uid="{0AC5E845-6722-4017-BE05-175CDF4A1F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06" authorId="0" shapeId="0" xr:uid="{81FDA02F-C6C0-4443-8550-6ADA4FDF14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06" authorId="0" shapeId="0" xr:uid="{5EEB646F-AD05-4554-9C97-F3545F29E49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06" authorId="0" shapeId="0" xr:uid="{708CF743-38BE-4D91-9910-FBE8B0A661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06" authorId="0" shapeId="0" xr:uid="{0EEFBB3F-9AEA-46A0-A7DD-1E804028B54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06" authorId="0" shapeId="0" xr:uid="{D7821149-5656-4B73-8503-A9A33A6D80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06" authorId="0" shapeId="0" xr:uid="{8A5738B4-8670-4150-B05F-6882817534C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06" authorId="0" shapeId="0" xr:uid="{0708738C-DB0C-4B99-B2AA-C0DE3F12DED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7" authorId="0" shapeId="0" xr:uid="{50E018F6-7972-4974-B8D4-0F198E8777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7" authorId="0" shapeId="0" xr:uid="{98E92EF6-17EB-447E-AAB3-106877A1D43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7" authorId="0" shapeId="0" xr:uid="{34F9C313-2C54-4CF3-973B-9F3A12992B4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7" authorId="0" shapeId="0" xr:uid="{EE58C328-628C-4285-BA59-ED42D615F7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7" authorId="0" shapeId="0" xr:uid="{AFF3E960-2E5E-42E5-9B5C-100B0A1259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7" authorId="0" shapeId="0" xr:uid="{A151B4B9-6FDF-493F-829C-6794BE15EA7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07" authorId="0" shapeId="0" xr:uid="{9C7A32F7-E73A-456B-950B-C8AF2C5E987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07" authorId="0" shapeId="0" xr:uid="{03D4380F-D322-48C8-989E-4C7B94DAB5F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07" authorId="0" shapeId="0" xr:uid="{F9029B6B-6E0C-421A-9685-BCBAC60F6A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07" authorId="0" shapeId="0" xr:uid="{A463D8AC-607E-47CB-AAF5-41076ABE88E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07" authorId="0" shapeId="0" xr:uid="{5A1EF15C-F7CE-49BB-B9FF-C6F219B3CB8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07" authorId="0" shapeId="0" xr:uid="{67272248-C86D-4A5F-AF13-937A57C7585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07" authorId="0" shapeId="0" xr:uid="{5F015073-8724-42DD-A81A-5190965A16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07" authorId="0" shapeId="0" xr:uid="{159252BE-4C76-434D-A282-FE05447CAA5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07" authorId="0" shapeId="0" xr:uid="{40481A17-B20E-496E-AA46-8A5B74ED24F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07" authorId="0" shapeId="0" xr:uid="{96F9EB9A-2E45-4764-89E1-12CB26A97C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8" authorId="0" shapeId="0" xr:uid="{B81E7357-290F-41E0-A80B-16E53358A49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8" authorId="0" shapeId="0" xr:uid="{9DF63E41-7CDD-4EBF-AFE9-96442B234FE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8" authorId="0" shapeId="0" xr:uid="{55A9C81F-90F0-44F1-880C-DBF85DED40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8" authorId="0" shapeId="0" xr:uid="{78DF99CA-C746-4D40-96CD-3DF355CA3F5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8" authorId="0" shapeId="0" xr:uid="{4BEE403B-64B0-43CD-AE59-B341365C28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8" authorId="0" shapeId="0" xr:uid="{A7FF5138-BC7C-4EEF-822F-5472333B93E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08" authorId="0" shapeId="0" xr:uid="{70886E2E-A568-44F5-A1FD-02B4D2ADF23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08" authorId="0" shapeId="0" xr:uid="{8710C5F8-B617-45B1-985F-197B416100E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08" authorId="0" shapeId="0" xr:uid="{55BFDF91-8B18-4C9D-85C9-7C09277D02A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08" authorId="0" shapeId="0" xr:uid="{F7A3975D-AE1C-40A7-AE82-8904A622550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08" authorId="0" shapeId="0" xr:uid="{6AF5E60F-52A8-4E3F-8996-26A358022C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08" authorId="0" shapeId="0" xr:uid="{6968E304-BE0F-4058-957B-3AC80BFD12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08" authorId="0" shapeId="0" xr:uid="{7D952CBC-AF42-408A-AB95-DA0369CA57C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08" authorId="0" shapeId="0" xr:uid="{44F40753-D559-4BFC-B95E-F9ED68C2E6F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08" authorId="0" shapeId="0" xr:uid="{9117D4EA-F7A4-43EE-A536-21ED137264E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08" authorId="0" shapeId="0" xr:uid="{F10481E2-73AA-45C2-867B-C6BC65E16D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9" authorId="0" shapeId="0" xr:uid="{AE54E8B4-D02F-4500-AEFC-DC88DF6039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09" authorId="0" shapeId="0" xr:uid="{56132036-759B-423C-A2C9-3C269E7082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09" authorId="0" shapeId="0" xr:uid="{4365B0C3-CCAD-4C22-98C6-A3B46E6A0A6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09" authorId="0" shapeId="0" xr:uid="{085B0763-F98C-4C89-83E7-70C4F851A14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09" authorId="0" shapeId="0" xr:uid="{3F6174C5-CA37-4BF0-9344-5AA3A8DD861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09" authorId="0" shapeId="0" xr:uid="{BA4D6E56-D1F5-4273-9EF1-09E60BA8710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09" authorId="0" shapeId="0" xr:uid="{5B47A676-3A50-4663-9DF7-62AB10B07F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09" authorId="0" shapeId="0" xr:uid="{910D1C5D-2B66-4CBC-9CA4-E7B17D6A6F7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09" authorId="0" shapeId="0" xr:uid="{CC4F0DD6-8502-426C-AF46-5D954A7920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09" authorId="0" shapeId="0" xr:uid="{8D6AAB50-FE72-4D41-A2A3-2C680D65619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09" authorId="0" shapeId="0" xr:uid="{1B7C780D-7549-4B4B-BBF5-87B6BF47D7E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09" authorId="0" shapeId="0" xr:uid="{97CC3B3A-6C2A-4D3F-B89C-5C40221FB1A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09" authorId="0" shapeId="0" xr:uid="{D41720BA-FAD4-47AB-AA9F-7AEAA3C2CCE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09" authorId="0" shapeId="0" xr:uid="{456DC354-05AA-4007-B2A4-DC51DFC0C7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09" authorId="0" shapeId="0" xr:uid="{59373F34-4D94-48F6-AD73-09DC126B768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09" authorId="0" shapeId="0" xr:uid="{AB6CF43D-A2D9-44AB-A07B-DC75909714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0" authorId="0" shapeId="0" xr:uid="{9D015572-1764-4FEB-93FE-8167CB9F037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0" authorId="0" shapeId="0" xr:uid="{F2AE5D39-48DE-4FEC-BE33-71F8921E6B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0" authorId="0" shapeId="0" xr:uid="{92435A53-ED2C-414D-9328-6B3CF0402C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0" authorId="0" shapeId="0" xr:uid="{CDCCCEDD-E71D-4D1E-BCD0-F42D515BC7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0" authorId="0" shapeId="0" xr:uid="{E3AC02A1-41AE-4B9C-AD06-F354203097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0" authorId="0" shapeId="0" xr:uid="{FAAACA21-2E1E-4ED6-90FA-1E5A5D72AF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0" authorId="0" shapeId="0" xr:uid="{791680A6-720A-40CB-B1B1-9863D23169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0" authorId="0" shapeId="0" xr:uid="{DEE2CC3C-7D8D-4CE2-A3C5-04CA3EC012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0" authorId="0" shapeId="0" xr:uid="{BD870A2A-05B5-4EAA-B68D-76B4256865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0" authorId="0" shapeId="0" xr:uid="{F5FE9305-D390-4488-8225-611CA622B3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10" authorId="0" shapeId="0" xr:uid="{8C6558AD-297A-45C2-8551-1FB9011389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10" authorId="0" shapeId="0" xr:uid="{23A73EAA-60D6-4B31-B341-5678B403A26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10" authorId="0" shapeId="0" xr:uid="{479B73C3-2442-41E4-89B4-3950E00E7A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10" authorId="0" shapeId="0" xr:uid="{DAA82C2A-32FA-4D22-AD90-8F23619727B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10" authorId="0" shapeId="0" xr:uid="{BD1BD0EC-1663-4EEE-8A21-E055AA1CF3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10" authorId="0" shapeId="0" xr:uid="{EB6EB4D7-5FCF-4F34-9C8A-DA802DF1B9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1" authorId="0" shapeId="0" xr:uid="{B0DD183E-2F20-4674-8D89-1A32548165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1" authorId="0" shapeId="0" xr:uid="{1DF357F4-52A7-41F6-ABD8-EAC792C6EE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1" authorId="0" shapeId="0" xr:uid="{66577668-59A3-495B-8D6F-EC417DB04F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1" authorId="0" shapeId="0" xr:uid="{7A60BD4F-8F4E-4961-B9B4-202C8B6B1F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1" authorId="0" shapeId="0" xr:uid="{76A9AB23-5179-4CC4-AE63-544C6A872B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1" authorId="0" shapeId="0" xr:uid="{F7C40DC8-E734-4C5E-B707-863F9CB85E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1" authorId="0" shapeId="0" xr:uid="{98EFACD5-3FA0-41AE-BA04-4E743624E3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1" authorId="0" shapeId="0" xr:uid="{73A3E966-F816-4B08-9580-F99B0047F3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1" authorId="0" shapeId="0" xr:uid="{981A2A4B-5B5E-46A9-8E89-661ACD0ED9A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1" authorId="0" shapeId="0" xr:uid="{B51AEA13-7A88-4C45-B4BD-1B7DEE5FCB7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11" authorId="0" shapeId="0" xr:uid="{5C68A583-E695-4343-A73C-2C4C1D360B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11" authorId="0" shapeId="0" xr:uid="{EC637FE3-E5AA-4870-A8C8-D4676812C4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11" authorId="0" shapeId="0" xr:uid="{034F922F-3E80-43D9-BC94-4CC0985F8D5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11" authorId="0" shapeId="0" xr:uid="{C5722E30-FC7F-4138-9CDE-C8606FECA6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11" authorId="0" shapeId="0" xr:uid="{82513C62-D01D-4337-A306-59C5B3E056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11" authorId="0" shapeId="0" xr:uid="{9389CD16-FA08-442A-B707-B9A99EC538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2" authorId="0" shapeId="0" xr:uid="{39B05F99-069E-432D-B317-E872DF0E9D5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12" authorId="0" shapeId="0" xr:uid="{7950A31F-6FB8-4E33-A821-7AE7CDD4DE9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12" authorId="0" shapeId="0" xr:uid="{439C3EB1-6D60-4984-89D8-EF10217CD2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12" authorId="0" shapeId="0" xr:uid="{B5E19A17-D375-46D3-8301-EF3AE8192F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12" authorId="0" shapeId="0" xr:uid="{436742A1-2B3D-45AD-BF07-533E97A6908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12" authorId="0" shapeId="0" xr:uid="{AC5C2F6A-4430-40F5-8298-931CF1F890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12" authorId="0" shapeId="0" xr:uid="{29C322DB-733E-4527-B5BF-9089B0D706E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12" authorId="0" shapeId="0" xr:uid="{EC7F33D2-1DA0-4D31-A0BD-98F2063433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12" authorId="0" shapeId="0" xr:uid="{AFA91AC5-4D37-40E0-8AC8-9AF8B72FB6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12" authorId="0" shapeId="0" xr:uid="{885DB1A7-105D-4770-B789-685966C5B5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12" authorId="0" shapeId="0" xr:uid="{E1314643-E81C-465D-BB23-04C55F9111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M112" authorId="0" shapeId="0" xr:uid="{6F9ADFCE-1D94-4407-B6AB-50297A5C91A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N112" authorId="0" shapeId="0" xr:uid="{5BBB692E-CD37-4A09-B0C3-4FF88ACE0FC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O112" authorId="0" shapeId="0" xr:uid="{125A2373-6E14-4876-A20B-C384B656E5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P112" authorId="0" shapeId="0" xr:uid="{CEC90707-AD83-4093-A34A-CABA576A5E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Q112" authorId="0" shapeId="0" xr:uid="{8D57D250-6475-4156-A988-EE7688A26C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3" authorId="0" shapeId="0" xr:uid="{0662268F-3099-4F34-8647-98AE57D147D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13" authorId="0" shapeId="0" xr:uid="{B62E277A-E228-4F11-86B7-232B1714118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13" authorId="0" shapeId="0" xr:uid="{0C14B85A-9B88-4B23-9496-B985319940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13" authorId="0" shapeId="0" xr:uid="{BC0FE8E5-19DB-458A-8511-085DED69DF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13" authorId="0" shapeId="0" xr:uid="{1E191309-100E-4155-A479-272D0A16BF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13" authorId="0" shapeId="0" xr:uid="{BA927096-5348-4D8F-A303-5E7BB838553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13" authorId="0" shapeId="0" xr:uid="{33936F8A-31E7-4CE5-B2B1-F20EA0F93B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13" authorId="0" shapeId="0" xr:uid="{416BF5F1-F73E-417B-8A04-775F249C6D5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13" authorId="0" shapeId="0" xr:uid="{443A2F74-D619-4114-B18C-D238CCF8DA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13" authorId="0" shapeId="0" xr:uid="{7864C64A-AA57-4A9C-8E21-D4F3EC18B7D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13" authorId="0" shapeId="0" xr:uid="{CAD2380F-FC47-484A-B119-0D4C378B563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13" authorId="0" shapeId="0" xr:uid="{0025B728-C18D-43FF-BB9C-4AD96329156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13" authorId="0" shapeId="0" xr:uid="{59A011C3-9D5A-4111-A1AB-DCFFB9743F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13" authorId="0" shapeId="0" xr:uid="{3B890673-02F4-4522-AB22-7A08064FF2D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13" authorId="0" shapeId="0" xr:uid="{4619F0DC-9EA4-4917-B986-784469AD3C0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13" authorId="0" shapeId="0" xr:uid="{B88E54C3-E66F-4497-9A8F-4A7869D299B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4" authorId="0" shapeId="0" xr:uid="{2DC7B155-7D75-4F28-9030-B22C4E26201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14" authorId="0" shapeId="0" xr:uid="{2F35A27D-0478-4419-ABEC-06D7D532E0B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14" authorId="0" shapeId="0" xr:uid="{A97BFBCF-D26C-45DD-80BD-6A7DB0F6E6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14" authorId="0" shapeId="0" xr:uid="{B0A18A35-AD12-4999-AE7F-B8A9EB6A8BB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14" authorId="0" shapeId="0" xr:uid="{3FA524DA-852D-41B2-B830-F40219F6FCB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14" authorId="0" shapeId="0" xr:uid="{8C4AEF03-D075-4DD5-A730-947BDE7CF55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14" authorId="0" shapeId="0" xr:uid="{E9BF60E9-9DAC-4D21-92DE-84C6E97BC3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14" authorId="0" shapeId="0" xr:uid="{ADE7E246-8B1A-43BD-B39B-B2AD6167BE9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14" authorId="0" shapeId="0" xr:uid="{D446240F-E4C7-4A56-AD02-03C6AB89BEC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14" authorId="0" shapeId="0" xr:uid="{B17CD6AF-606B-477E-A24A-FDD5DB8BFDD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14" authorId="0" shapeId="0" xr:uid="{084F9DB4-0318-410D-875D-70F9BD2D2B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14" authorId="0" shapeId="0" xr:uid="{35AA9B3F-669B-46E4-AB33-7D7CF4A6EA4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14" authorId="0" shapeId="0" xr:uid="{C82D8306-93EA-4002-BFD0-A440DEC2EE1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14" authorId="0" shapeId="0" xr:uid="{1E3134C8-0E2C-4BAE-A9BD-CAAAE9CC220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14" authorId="0" shapeId="0" xr:uid="{340BA913-9332-416E-BBF8-EB8716B3133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14" authorId="0" shapeId="0" xr:uid="{03BB5AAF-F30C-4F0F-9515-2642909A245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5" authorId="0" shapeId="0" xr:uid="{72765D36-324E-4060-A578-3FD441AA95F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15" authorId="0" shapeId="0" xr:uid="{669FFB9E-9825-410B-B455-D6C253686AB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15" authorId="0" shapeId="0" xr:uid="{4E96E159-8ECE-43E0-9EA0-058C2F5AA49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15" authorId="0" shapeId="0" xr:uid="{E99EC32D-8B84-417F-A9E6-D69B077F84D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15" authorId="0" shapeId="0" xr:uid="{780845B4-BFD6-491B-B621-2EC383F3E16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15" authorId="0" shapeId="0" xr:uid="{CC5761C0-3D4A-4932-A5C6-8FF6479FC83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15" authorId="0" shapeId="0" xr:uid="{BA63DCC5-CC4C-4FD1-A055-B950F8407BE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15" authorId="0" shapeId="0" xr:uid="{FB5B6A87-0722-4A4E-B59F-2A1F4E1F9E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15" authorId="0" shapeId="0" xr:uid="{B485BEEF-B24E-4D74-96CC-E674D644797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15" authorId="0" shapeId="0" xr:uid="{D3059C11-6546-4398-9738-D857DF6AECA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15" authorId="0" shapeId="0" xr:uid="{32159B5F-FE5C-4E7B-B712-87A3591B3EC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15" authorId="0" shapeId="0" xr:uid="{F2530062-0B2A-481F-85B5-03159A233F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15" authorId="0" shapeId="0" xr:uid="{3FFD9676-C96E-4DE5-8A87-D903C52BFA9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15" authorId="0" shapeId="0" xr:uid="{335EFBF5-78AA-4F0B-8261-37CD8E2890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15" authorId="0" shapeId="0" xr:uid="{97A89F38-BCFE-4504-98ED-54F688A5D72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15" authorId="0" shapeId="0" xr:uid="{32A843EA-98EC-4423-A907-2099FA88407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6" authorId="0" shapeId="0" xr:uid="{B365E1DF-5CFD-422B-9395-13C6DB4EB39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16" authorId="0" shapeId="0" xr:uid="{492471B6-F1D6-43A5-8523-32DDB9444C2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16" authorId="0" shapeId="0" xr:uid="{8775F1FA-5A82-4F99-9DD0-141451EDC8A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16" authorId="0" shapeId="0" xr:uid="{E20934E9-ECDB-439F-AE1C-B6166CABD11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16" authorId="0" shapeId="0" xr:uid="{4857E610-8E24-40AC-8E61-0EC2C37FE86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16" authorId="0" shapeId="0" xr:uid="{8D6B0B6D-FBC6-46D4-B5D8-4EDC0872291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16" authorId="0" shapeId="0" xr:uid="{0B2C0BDC-87D7-4253-AECE-F7550A6DD5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16" authorId="0" shapeId="0" xr:uid="{C1BF57B7-0A2A-4026-B312-B3BB77D84F9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16" authorId="0" shapeId="0" xr:uid="{AC1DEBAF-5DA1-4568-8156-0C64F8ED63F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16" authorId="0" shapeId="0" xr:uid="{3F3305BA-2657-4F95-B3AC-6F639FA2880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16" authorId="0" shapeId="0" xr:uid="{F8E4C955-992A-45CE-ACB6-99EA776ADF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16" authorId="0" shapeId="0" xr:uid="{3B6909EE-6AF9-42C3-BF3C-C4FBD8861A8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16" authorId="0" shapeId="0" xr:uid="{BFEE4FFD-FBAE-48F5-8FF9-862632242E7F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16" authorId="0" shapeId="0" xr:uid="{6C780883-D57C-4DF6-9073-1AA71F311AE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16" authorId="0" shapeId="0" xr:uid="{FC6FA998-7382-4932-B389-16992C25ABD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16" authorId="0" shapeId="0" xr:uid="{BC76DCC8-DCA4-4520-A085-7C67E30BF3D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7" authorId="0" shapeId="0" xr:uid="{7289B384-5898-4B92-809F-B8BC5F3798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C117" authorId="0" shapeId="0" xr:uid="{ED70BD8E-33FA-4748-87AA-E24FDCC3B86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D117" authorId="0" shapeId="0" xr:uid="{73A4FB04-203F-4A59-8F39-F1B8ED7B8A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E117" authorId="0" shapeId="0" xr:uid="{D049F322-083F-4B31-9B01-6775A6DA9F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F117" authorId="0" shapeId="0" xr:uid="{39CA2A05-6B07-4802-B511-9DF00B00752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G117" authorId="0" shapeId="0" xr:uid="{D2B280BC-6CED-4C86-BC75-6A5AA3F06F1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H117" authorId="0" shapeId="0" xr:uid="{4E624F62-6D1A-4742-B541-8B3C7F6CB3D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I117" authorId="0" shapeId="0" xr:uid="{3D37FF1A-FC18-43BB-8CBD-9E2CA14A3EC8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J117" authorId="0" shapeId="0" xr:uid="{D72B1360-D9DC-498B-82D2-C562AAE1B3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K117" authorId="0" shapeId="0" xr:uid="{86743327-DEA8-4B0B-A467-7B7B1D010A1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L117" authorId="0" shapeId="0" xr:uid="{AE9122A9-6D81-4D43-887A-701BD1D9B6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M117" authorId="0" shapeId="0" xr:uid="{56253634-127A-482C-9CA8-881A9C3FFF2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N117" authorId="0" shapeId="0" xr:uid="{BD0CD163-731E-485A-A39A-5AE26BA48DF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O117" authorId="0" shapeId="0" xr:uid="{7B1D88A4-9945-4D75-9F02-9B531C83F747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P117" authorId="0" shapeId="0" xr:uid="{6234EE68-B66A-4CC6-A79A-ABB0DEF831D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Q117" authorId="0" shapeId="0" xr:uid="{9CE834D8-818F-494B-807F-27D9926F136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</commentList>
</comments>
</file>

<file path=xl/comments6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 RAM SAI</author>
  </authors>
  <commentList>
    <comment ref="B5" authorId="0" shapeId="0" xr:uid="{097F7421-3E42-4776-9364-97B892AB9D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D599479B-7C11-41E2-8D3E-C658C7D089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7" authorId="0" shapeId="0" xr:uid="{40C03769-6395-4B31-8989-551167D344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341A9B45-E3F9-462F-BA7A-9D9BEFD3EC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9" authorId="0" shapeId="0" xr:uid="{B841170F-3B95-4DAF-B7D1-15AB4F797B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0" authorId="0" shapeId="0" xr:uid="{86F51DC5-20F8-4BA1-9F7E-C8505437CA5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1" authorId="0" shapeId="0" xr:uid="{0B377C54-8D98-42F8-86F3-8C5B4D2F132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2" authorId="0" shapeId="0" xr:uid="{5E9B5E19-09D5-474E-A916-64452A644F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A0601550-5041-49A4-9A48-C73A7A9A925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4" authorId="0" shapeId="0" xr:uid="{507E3D8E-3C9B-4BD6-ACFA-EEB5329E546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5" authorId="0" shapeId="0" xr:uid="{D9EA3061-4DC9-4D37-B739-16B5159160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</commentList>
</comments>
</file>

<file path=xl/comments7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 RAM SAI</author>
  </authors>
  <commentList>
    <comment ref="B5" authorId="0" shapeId="0" xr:uid="{A9DB1AF5-9E9A-4325-8B88-7600988857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6" authorId="0" shapeId="0" xr:uid="{FFE67A70-48BF-4A5A-95A6-C828B59BEA4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7" authorId="0" shapeId="0" xr:uid="{D0DC5484-BEE6-43AC-A7DE-CBD50F0FE1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8" authorId="0" shapeId="0" xr:uid="{8CA7A527-169C-43BD-A087-FECBB74B4DD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9" authorId="0" shapeId="0" xr:uid="{77A83E7E-3439-4B5E-9FBA-DEDC4470C890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0" authorId="0" shapeId="0" xr:uid="{7AC16752-8B39-46CF-8ADD-8F62C69708E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1" authorId="0" shapeId="0" xr:uid="{DD336AD7-26E8-4E5F-A522-5A7142A98033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2" authorId="0" shapeId="0" xr:uid="{8EA0E850-1FA7-49F5-99F5-FB8DD63483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13" authorId="0" shapeId="0" xr:uid="{DDAB0FC3-046F-4C91-B54E-BF4A17E9FE1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4" authorId="0" shapeId="0" xr:uid="{F0F6A2FE-FBFE-44B2-A1A7-AECAEEA9748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5" authorId="0" shapeId="0" xr:uid="{466F2B9C-01CA-4BCE-A9E6-2CBFB98F9F26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6" authorId="0" shapeId="0" xr:uid="{71DD8442-4EB3-4A2F-9DC6-823F6C92753A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7" authorId="0" shapeId="0" xr:uid="{D8604885-51C1-4512-A9DB-3B4E189F952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8" authorId="0" shapeId="0" xr:uid="{E146DFAB-9439-4B7E-9C7D-D21B9BD18644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19" authorId="0" shapeId="0" xr:uid="{7F159129-100A-43C8-9D63-5652636CF54D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0" authorId="0" shapeId="0" xr:uid="{BD996364-75D9-4795-8549-D596D93F8F1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1" authorId="0" shapeId="0" xr:uid="{DA167BB2-D1E2-419A-BDF3-7CE3B6A0B5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2" authorId="0" shapeId="0" xr:uid="{E1CDC78E-9443-401D-B7B9-5C1E9CF6039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3" authorId="0" shapeId="0" xr:uid="{1D1565B8-12A0-4CFA-A60B-87567ACA3E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4" authorId="0" shapeId="0" xr:uid="{E57092F6-DA8B-4EFB-B778-228F554031A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5" authorId="0" shapeId="0" xr:uid="{536265BD-BCD7-4010-98C3-A6BB340D72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26" authorId="0" shapeId="0" xr:uid="{00D7CF19-1D2D-4785-B7CB-A4E0D656C1B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7" authorId="0" shapeId="0" xr:uid="{C4A85255-13AC-4A23-993B-8495740A57B9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8" authorId="0" shapeId="0" xr:uid="{2349C824-E82C-4AFF-A569-F2DC1894B27E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29" authorId="0" shapeId="0" xr:uid="{424151D6-C7D2-456A-A135-A51BF4E2C9E2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0" authorId="0" shapeId="0" xr:uid="{DD966318-928B-4AAE-BB9F-6AE75890A3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B31" authorId="0" shapeId="0" xr:uid="{81332A44-63B3-4884-8591-F637B387EB25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2" authorId="0" shapeId="0" xr:uid="{44B45817-7A96-45AC-AF41-0F4503FBE8F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3" authorId="0" shapeId="0" xr:uid="{5FEE7B48-275A-4B6B-A9CB-9B1AA8EEEC4B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4" authorId="0" shapeId="0" xr:uid="{FAACAD7D-6AA7-4302-AE6D-4680FA23BEC1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  <comment ref="B35" authorId="0" shapeId="0" xr:uid="{EDF12DD1-AF3E-4AF5-ABCB-E32E4CE5A78C}">
      <text>
        <r>
          <rPr>
            <sz val="9"/>
            <color indexed="81"/>
            <rFont val="Tahoma"/>
            <family val="2"/>
          </rPr>
          <t>Solver found an integer solution within tolerance. All constraints are satisfied.</t>
        </r>
      </text>
    </comment>
  </commentList>
</comments>
</file>

<file path=xl/comments8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 RAM SAI</author>
  </authors>
  <commentList>
    <comment ref="B5" authorId="0" shapeId="0" xr:uid="{8647F1E4-E550-4DC9-8096-1CD82418E71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" authorId="0" shapeId="0" xr:uid="{E0255E0A-3FD9-489B-8ECC-74989D04411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" authorId="0" shapeId="0" xr:uid="{D4919A31-6C7A-4AFF-AC5E-B6D4BCB3F3E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" authorId="0" shapeId="0" xr:uid="{00674309-40BC-4274-BA38-723830ABBCA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" authorId="0" shapeId="0" xr:uid="{2A87A58C-7F7F-4DCC-8256-2D1D2FE44CF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" authorId="0" shapeId="0" xr:uid="{4317674C-669E-4509-8515-7FA8163EFB2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" authorId="0" shapeId="0" xr:uid="{2E2244EC-63C2-4629-9E26-D104E4FA1B5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" authorId="0" shapeId="0" xr:uid="{8CE542AE-530D-49D2-A829-649E14E6339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" authorId="0" shapeId="0" xr:uid="{7AFB1C8E-DE79-4121-9698-E221B4A7855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" authorId="0" shapeId="0" xr:uid="{DFA237BE-A118-42A4-9C9E-A0605423C32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" authorId="0" shapeId="0" xr:uid="{1B90A754-2652-4068-B810-7B7912D838A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" authorId="0" shapeId="0" xr:uid="{E445D34F-B144-4C66-BD0F-A8E14D9E899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" authorId="0" shapeId="0" xr:uid="{C6CB6E05-EE57-41E5-B6A7-52F0D05C58C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" authorId="0" shapeId="0" xr:uid="{0C80471C-E6C2-4408-A773-4F39F57B1B9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" authorId="0" shapeId="0" xr:uid="{536C75D5-EDAA-4DAB-9956-6588F2B8836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" authorId="0" shapeId="0" xr:uid="{506A132A-B753-47A8-A7CC-79B29BE0649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" authorId="0" shapeId="0" xr:uid="{213FC283-03EF-4036-9B46-4D6B65709F6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" authorId="0" shapeId="0" xr:uid="{819217AD-D0AB-4981-92B5-F0CE230EACF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" authorId="0" shapeId="0" xr:uid="{8D660324-BC42-4646-9AED-182BB7C0067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" authorId="0" shapeId="0" xr:uid="{36FDD67E-90B7-460D-BCEE-A732F57B490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" authorId="0" shapeId="0" xr:uid="{3CF56457-85DB-448A-BDDB-C93B6CC427F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" authorId="0" shapeId="0" xr:uid="{758550BA-B73A-449F-A3EB-74B1A31E515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" authorId="0" shapeId="0" xr:uid="{13426FD5-2F07-4C1C-8AAA-FAD74E97DFF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" authorId="0" shapeId="0" xr:uid="{B9E67001-1434-4D63-BD8E-463EAD7DE9A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" authorId="0" shapeId="0" xr:uid="{21B95269-72D0-4CBF-8A5B-5C2EA8DDE8C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" authorId="0" shapeId="0" xr:uid="{7F887A8D-40E3-4E82-8BA0-991F117ECAB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" authorId="0" shapeId="0" xr:uid="{6EE34F44-3B52-45D6-9728-B55C1C98235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" authorId="0" shapeId="0" xr:uid="{F877F77C-DFE6-4E69-9DA7-AEADF56A427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" authorId="0" shapeId="0" xr:uid="{7089AF05-16C1-4818-AF5E-9BF4DD742CE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" authorId="0" shapeId="0" xr:uid="{733B8E94-DBE2-4E1A-9110-782F1BCA77F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" authorId="0" shapeId="0" xr:uid="{3A492EB7-1837-494D-AB8A-E981367D4D5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" authorId="0" shapeId="0" xr:uid="{03D1CF7A-5F95-40B3-B15E-42B99BAB368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" authorId="0" shapeId="0" xr:uid="{DC05640A-A8B4-4584-8792-9AC7B9949AE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" authorId="0" shapeId="0" xr:uid="{B0442BF0-D50C-4FF8-8EB4-C133713045F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" authorId="0" shapeId="0" xr:uid="{0C01057D-50BA-491E-AD20-477E1E5C1FC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" authorId="0" shapeId="0" xr:uid="{DED0057D-288A-418C-99CB-B84539A5A7A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" authorId="0" shapeId="0" xr:uid="{C3AFF1A5-90A0-45AC-9707-1187F48F1B6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" authorId="0" shapeId="0" xr:uid="{0061C4DD-A34D-401C-AD91-D44C1055890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" authorId="0" shapeId="0" xr:uid="{3C24C729-1335-4B2D-ACB2-7575C076409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" authorId="0" shapeId="0" xr:uid="{6458B75A-0ABC-46DA-A702-65771AC4D78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" authorId="0" shapeId="0" xr:uid="{3A432591-72A0-442E-8A76-63C44C02E8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" authorId="0" shapeId="0" xr:uid="{C2F7CAE9-E86A-43FB-A35A-67B9C5C5156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" authorId="0" shapeId="0" xr:uid="{76EBC9BF-A91C-485E-8638-7CE429CB719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" authorId="0" shapeId="0" xr:uid="{2BFECFBC-55E8-4AC2-B6BB-0188C39D04B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" authorId="0" shapeId="0" xr:uid="{452919C6-DB3B-4B70-8183-B1A1FF47008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" authorId="0" shapeId="0" xr:uid="{0D0EB73F-E48F-4AA8-852E-72CBB46431D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" authorId="0" shapeId="0" xr:uid="{EF5B7854-3E21-4104-BCAF-762EDB3B822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" authorId="0" shapeId="0" xr:uid="{1167E463-7999-4226-9D40-9F0CAC811EB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" authorId="0" shapeId="0" xr:uid="{FDFEBD2E-068F-420F-88D4-B4DFA35C2D6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" authorId="0" shapeId="0" xr:uid="{49B08D7C-0650-4062-9740-BEE8453D8DA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" authorId="0" shapeId="0" xr:uid="{960D1116-B7CB-4C11-9C2C-5B19E756D6E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" authorId="0" shapeId="0" xr:uid="{A01A1056-1FD5-444F-80E9-D63029F2299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" authorId="0" shapeId="0" xr:uid="{1E79E311-84B8-43AF-A176-BF95DF5A02D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" authorId="0" shapeId="0" xr:uid="{1EBA34A6-A8A2-4514-A26C-B575109A120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" authorId="0" shapeId="0" xr:uid="{F32486BE-38DA-4163-9E83-01359196677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" authorId="0" shapeId="0" xr:uid="{9EA0D1AD-E25C-475D-9D90-56238382A7E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" authorId="0" shapeId="0" xr:uid="{5F185320-6F00-470C-ABBF-F1EB6ADE3FF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" authorId="0" shapeId="0" xr:uid="{A575D9DC-BC0B-4FA8-A9B2-FA034DCFF39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" authorId="0" shapeId="0" xr:uid="{5345F4AB-BA5F-4E6A-99DF-DAD1D5423E5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" authorId="0" shapeId="0" xr:uid="{8EF019DB-6DBD-49B8-B9B3-2A2C2DA5EA8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" authorId="0" shapeId="0" xr:uid="{F025B260-6964-4A5A-AFB9-E364B386C9F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" authorId="0" shapeId="0" xr:uid="{B202E23B-00B9-4E8B-8AF9-52ACE66B2B0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" authorId="0" shapeId="0" xr:uid="{F9A881F7-4B4C-4B7E-B17F-E6D1D903C2B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" authorId="0" shapeId="0" xr:uid="{DF550E9E-CCEA-4D64-A5C1-E20CBDCB1B2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" authorId="0" shapeId="0" xr:uid="{62B21BF4-2C25-46B5-A20E-4DB2F3E7864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" authorId="0" shapeId="0" xr:uid="{81C15893-7009-455D-B5B4-C97EB43F0EF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" authorId="0" shapeId="0" xr:uid="{FB726D4F-95F1-49E8-B342-965925B5D1A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" authorId="0" shapeId="0" xr:uid="{E9466870-C59D-4D20-9A31-9E4FEAA2A8F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" authorId="0" shapeId="0" xr:uid="{EC926E3B-DDB4-4B40-9BBB-402D5DC8B2F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" authorId="0" shapeId="0" xr:uid="{0F074ABB-F6BF-48FF-B817-1803D8C1EFE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" authorId="0" shapeId="0" xr:uid="{8ADA8053-18FC-4342-8317-061722DC999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" authorId="0" shapeId="0" xr:uid="{3496C972-6743-4C40-856C-FA4F4158F73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" authorId="0" shapeId="0" xr:uid="{4AF9D774-746E-4FC5-98D9-90B138DAC3F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" authorId="0" shapeId="0" xr:uid="{7BAD0BBA-425D-42C4-98F6-6BDD944F3B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" authorId="0" shapeId="0" xr:uid="{2DC80E61-B8E7-4718-85D8-993A413509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" authorId="0" shapeId="0" xr:uid="{FC0E6172-EDA2-42AC-959C-2433E3185EF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" authorId="0" shapeId="0" xr:uid="{767B53EF-56A2-4E2F-9602-51C46550D64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" authorId="0" shapeId="0" xr:uid="{3F29E34C-64F4-49A4-ADCF-95CDF0483EE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2" authorId="0" shapeId="0" xr:uid="{C9F34951-11B7-4C8A-8F10-3E98135B032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2" authorId="0" shapeId="0" xr:uid="{FBC080B6-F1CB-4F4C-8FA2-7D0E460C364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2" authorId="0" shapeId="0" xr:uid="{A409A2C9-BAFE-4E9D-88C0-E1EFAB62134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2" authorId="0" shapeId="0" xr:uid="{89ED67FD-5329-4718-AE01-2D2DD300E3D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2" authorId="0" shapeId="0" xr:uid="{AA3566D5-6009-49B1-B8E7-04416984CB8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2" authorId="0" shapeId="0" xr:uid="{47DF3018-3F46-4617-A1AC-718D7E105C5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2" authorId="0" shapeId="0" xr:uid="{A5B93FEF-5A6E-4872-8D41-46593894BF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2" authorId="0" shapeId="0" xr:uid="{7A15DF64-53E7-40DE-8EF4-288A18600FD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2" authorId="0" shapeId="0" xr:uid="{6DE14213-1B78-4C79-B10B-0F4E3C6F639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2" authorId="0" shapeId="0" xr:uid="{8422CB2C-0CCF-408D-B164-6DA49B60001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3" authorId="0" shapeId="0" xr:uid="{0BF46A7E-22E7-4AA3-918A-F430293302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3" authorId="0" shapeId="0" xr:uid="{AD70FF12-C243-4976-BD8D-2DCFA8C19A3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3" authorId="0" shapeId="0" xr:uid="{9EAC4B6A-F372-49EB-9D09-785464A9D5D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3" authorId="0" shapeId="0" xr:uid="{2D1282B6-5A46-4F99-AA3E-05D2013CB2D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3" authorId="0" shapeId="0" xr:uid="{B62429C0-2556-48E1-BC53-010DB9FF9C5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3" authorId="0" shapeId="0" xr:uid="{0FB3D232-522C-4BDC-BF20-8A43E5A929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3" authorId="0" shapeId="0" xr:uid="{4FD65AE0-B7D6-4052-936F-7A198017584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3" authorId="0" shapeId="0" xr:uid="{8551D93D-4696-4F24-8B93-042A18B3674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3" authorId="0" shapeId="0" xr:uid="{47F9940B-EB18-4D8D-80AB-AA2922C4711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3" authorId="0" shapeId="0" xr:uid="{E63B75C8-822A-47F9-8A8A-91F9331C6BD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3" authorId="0" shapeId="0" xr:uid="{69BE156E-8444-4DD9-848F-97E9D497F4C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4" authorId="0" shapeId="0" xr:uid="{2A02C870-41FC-4C0E-A82A-FCC4A500F0D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4" authorId="0" shapeId="0" xr:uid="{533C9851-D2CF-4220-9272-765F8DA0EFC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4" authorId="0" shapeId="0" xr:uid="{73D28746-B4E6-4DA0-B078-52E810DD828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4" authorId="0" shapeId="0" xr:uid="{62268C0E-D4F5-40C9-837A-9D2C4AC0111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4" authorId="0" shapeId="0" xr:uid="{7180DFCB-7728-473C-84FA-26F3D66077E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4" authorId="0" shapeId="0" xr:uid="{BC861466-40A2-4ED9-B427-82185BBC677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4" authorId="0" shapeId="0" xr:uid="{076EE6EB-FB1C-49B6-859F-350E399002C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4" authorId="0" shapeId="0" xr:uid="{2AF339E9-6BCB-4BCA-834F-73DDEBFCDE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4" authorId="0" shapeId="0" xr:uid="{C7A00D33-1205-4F2D-BD97-0B17A12415B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4" authorId="0" shapeId="0" xr:uid="{0523A4CA-7D5F-49F1-92E4-603744E619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4" authorId="0" shapeId="0" xr:uid="{35E3F1CA-DD7F-45FA-8B8C-4968B0F2C80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5" authorId="0" shapeId="0" xr:uid="{C901025C-22E1-4B2C-B24F-5132A0F281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" authorId="0" shapeId="0" xr:uid="{B49B2840-870C-46BC-9B96-91A16E89E2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" authorId="0" shapeId="0" xr:uid="{F1DD7F20-D930-4E2C-9E41-967D6B36D9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" authorId="0" shapeId="0" xr:uid="{CA0C8A4B-81DA-456F-818A-CD1674C380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" authorId="0" shapeId="0" xr:uid="{9DDA4EC3-2982-4B33-9476-E97CB02E23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" authorId="0" shapeId="0" xr:uid="{55DA890A-A0F3-48C5-A5DE-785C790DDA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5" authorId="0" shapeId="0" xr:uid="{6C70851A-94D0-45EB-AF51-92A1CC61AA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5" authorId="0" shapeId="0" xr:uid="{2672BB32-1587-4304-8FB6-F76A67B693A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5" authorId="0" shapeId="0" xr:uid="{21AC8FA6-26EA-42F1-898F-40EFC34B5A4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5" authorId="0" shapeId="0" xr:uid="{2898E485-898C-4840-820D-DAFA1E1A304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5" authorId="0" shapeId="0" xr:uid="{AF7B398D-7CDC-4175-A4FD-1BC37D7E697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6" authorId="0" shapeId="0" xr:uid="{3CF9ECBC-90AB-470B-8922-AB0697AC529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" authorId="0" shapeId="0" xr:uid="{39E14025-1924-4940-AF96-4A3C7E8AD03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" authorId="0" shapeId="0" xr:uid="{B66A7923-6928-49BC-A906-C24D4339D0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" authorId="0" shapeId="0" xr:uid="{C20254B1-D7BA-4F94-AF0B-BCE68B1E6A6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" authorId="0" shapeId="0" xr:uid="{DCB46B4E-7EE5-430E-B5FF-A6DF2E40D2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" authorId="0" shapeId="0" xr:uid="{07553B92-B899-4167-BEA6-DB0E9EF0EF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6" authorId="0" shapeId="0" xr:uid="{57C96FEB-B1B1-4166-84B4-47D6175C77C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6" authorId="0" shapeId="0" xr:uid="{7AE77A46-2914-4AC5-83CE-E1A1595381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6" authorId="0" shapeId="0" xr:uid="{0EDD2D01-E1D1-4C9B-A20D-7913FA2984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6" authorId="0" shapeId="0" xr:uid="{D28B8732-2C33-4A01-96ED-3412944589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6" authorId="0" shapeId="0" xr:uid="{ABD22266-CEB6-4F99-A2E7-15F128454C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7" authorId="0" shapeId="0" xr:uid="{37ACBFB9-84A9-49A0-992C-52277AB7BD4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" authorId="0" shapeId="0" xr:uid="{A14AEAD7-4EC8-41DF-BE8B-F7CFF0EC8C7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" authorId="0" shapeId="0" xr:uid="{3C479D86-40A9-4B21-BE10-C010916E7F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" authorId="0" shapeId="0" xr:uid="{3C9F58AB-C584-465C-BE2B-B81B4A0AEB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" authorId="0" shapeId="0" xr:uid="{08758738-6708-4FB0-89B7-DAF61EEE73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" authorId="0" shapeId="0" xr:uid="{EC83E81D-8428-4091-8247-6E7EE6DB568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7" authorId="0" shapeId="0" xr:uid="{9F107EDB-D21F-4C05-950D-FEF11933624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7" authorId="0" shapeId="0" xr:uid="{3BE41411-47B1-4D9F-ABEB-2575093DE4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7" authorId="0" shapeId="0" xr:uid="{62B79FC3-F2A8-43B8-AF5B-A45033F7D64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7" authorId="0" shapeId="0" xr:uid="{DE0429BF-2B63-40A9-AC0E-521D95119B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7" authorId="0" shapeId="0" xr:uid="{DA337753-44C9-4C36-B03A-87C0815261C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8" authorId="0" shapeId="0" xr:uid="{E0706AF2-13B2-4BBE-B9C9-AB3846BB75F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8" authorId="0" shapeId="0" xr:uid="{CBF0A9DD-DB74-4AA9-9101-CDFB58CFAAF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8" authorId="0" shapeId="0" xr:uid="{AEA53D14-ADE6-4AA4-9728-274A34A9B6C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8" authorId="0" shapeId="0" xr:uid="{0F37E5F2-83E3-4762-BFF0-E0CDBDB812C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8" authorId="0" shapeId="0" xr:uid="{EE10D5B3-C6B8-4335-B346-7F8CB11857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8" authorId="0" shapeId="0" xr:uid="{BAADC67F-AB93-4D2E-B968-48E5134F933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8" authorId="0" shapeId="0" xr:uid="{8E017878-1AA5-4137-991D-3656EFD38E1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8" authorId="0" shapeId="0" xr:uid="{E3C823E3-C128-456B-81E7-DC27032DA5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8" authorId="0" shapeId="0" xr:uid="{2B37E886-6A02-4901-B22E-3237A4BD5F3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8" authorId="0" shapeId="0" xr:uid="{C88548B2-417F-4F3E-9DB1-A836258A283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8" authorId="0" shapeId="0" xr:uid="{CCE0AE93-7CAC-4251-9293-A15CDEDF5B9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9" authorId="0" shapeId="0" xr:uid="{19F2444E-C0BD-4542-ACC1-5D1D0211FF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9" authorId="0" shapeId="0" xr:uid="{1888A419-BEB2-418B-80B2-8FF39EBB166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9" authorId="0" shapeId="0" xr:uid="{95F1A7B1-2C0B-4631-90A6-AF2EE18E310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9" authorId="0" shapeId="0" xr:uid="{2106F68E-F7DE-4DE1-B8DB-A2D0D31BBCB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9" authorId="0" shapeId="0" xr:uid="{D8D3C766-6404-403A-B289-5C7E23089C8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9" authorId="0" shapeId="0" xr:uid="{E44ED3C1-C8CA-4B66-901A-B2C5DA93A8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9" authorId="0" shapeId="0" xr:uid="{A599785C-1DD8-4ECD-BF39-AC1F3BF129F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9" authorId="0" shapeId="0" xr:uid="{4433BCDC-3B73-45F2-9C49-583CBB3ACFF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9" authorId="0" shapeId="0" xr:uid="{BFED52DA-1DBF-4427-9F97-3686157944F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9" authorId="0" shapeId="0" xr:uid="{00F74011-13DD-47AB-9DEF-629F5AA644D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9" authorId="0" shapeId="0" xr:uid="{7431F271-8979-4CA3-882A-0EE3211A9B2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0" authorId="0" shapeId="0" xr:uid="{5D8F6947-5056-4229-B82C-3F568D34D0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0" authorId="0" shapeId="0" xr:uid="{7AC44940-3C30-4042-8E2D-3F46FE26470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0" authorId="0" shapeId="0" xr:uid="{22DE86F4-448E-45DD-B253-9270525A27B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0" authorId="0" shapeId="0" xr:uid="{E2AC9A71-4C2A-4E26-9042-E252971ACEE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0" authorId="0" shapeId="0" xr:uid="{B3CE32F5-5408-42A5-A887-DBB72F3CA14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0" authorId="0" shapeId="0" xr:uid="{666EB944-4E3B-4795-9B96-92C832C028D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0" authorId="0" shapeId="0" xr:uid="{1AB1FCDD-CC75-49EB-B2AB-A9B041EEA0C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0" authorId="0" shapeId="0" xr:uid="{BC55C191-47C1-404A-87B0-CA508628934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0" authorId="0" shapeId="0" xr:uid="{9CC6D265-A543-4647-8659-1121895F94E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0" authorId="0" shapeId="0" xr:uid="{415570EC-D704-428D-A3EC-AA03F83A3E4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0" authorId="0" shapeId="0" xr:uid="{AEF30D2C-6914-4F48-A306-056A27F4AF2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1" authorId="0" shapeId="0" xr:uid="{5DB88182-D330-4EEF-8FE7-507A4F406F6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1" authorId="0" shapeId="0" xr:uid="{53E17A82-281C-4C68-A296-ECA0EF69A98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1" authorId="0" shapeId="0" xr:uid="{0CC3530F-54BE-483C-8596-B79C071D935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1" authorId="0" shapeId="0" xr:uid="{BEB6C075-CD31-47A0-8CEC-4700E18F947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1" authorId="0" shapeId="0" xr:uid="{CECEE566-F07E-458E-9B63-C56EF58A15C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1" authorId="0" shapeId="0" xr:uid="{DF16CB0A-CF84-4487-8385-1495AE14AF2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1" authorId="0" shapeId="0" xr:uid="{F6FEFEB8-569E-4897-BD4B-2C7F1A18A53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1" authorId="0" shapeId="0" xr:uid="{EC2C3CA2-714B-487D-BE74-47E3D529EBA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1" authorId="0" shapeId="0" xr:uid="{06DD73FA-6C24-4F31-9DDF-82D9A983C23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1" authorId="0" shapeId="0" xr:uid="{24404ACE-8E99-438E-905F-C50D3DE0168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1" authorId="0" shapeId="0" xr:uid="{9642C024-82BE-4ACF-BF3C-2E5F259B76A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2" authorId="0" shapeId="0" xr:uid="{95DA8721-7667-41BA-8D71-546419055D3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2" authorId="0" shapeId="0" xr:uid="{311F3625-709E-4C65-8625-4FDDC7DDFAB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2" authorId="0" shapeId="0" xr:uid="{8C2A445D-3B5E-45FD-A36C-C10E0614BF5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2" authorId="0" shapeId="0" xr:uid="{EE4CF416-8AA2-4B08-A5B4-8A5561E63E4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2" authorId="0" shapeId="0" xr:uid="{928872F6-9D4C-4795-92C6-313D87ABBE4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2" authorId="0" shapeId="0" xr:uid="{78B47E36-7E83-4476-8722-0314D3B2D18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2" authorId="0" shapeId="0" xr:uid="{908C4D5E-7CFC-4747-96CA-3CFFF52FB58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2" authorId="0" shapeId="0" xr:uid="{A2580D1C-0C05-4C3D-8AE8-7C9EEA1A48D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2" authorId="0" shapeId="0" xr:uid="{73A22791-F314-40BF-81FF-6894EF5E372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2" authorId="0" shapeId="0" xr:uid="{654D50AC-3348-4035-9E40-71D702956D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2" authorId="0" shapeId="0" xr:uid="{311CAACF-CA64-46B9-8E25-28BAAA4DD3F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3" authorId="0" shapeId="0" xr:uid="{ECFCEB68-0D90-478E-8515-5DC2851A56D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3" authorId="0" shapeId="0" xr:uid="{94D6D961-87F4-4747-BB4C-AA3E10A928F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3" authorId="0" shapeId="0" xr:uid="{CC9D5D1C-63BA-4592-9833-1D3316737AE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3" authorId="0" shapeId="0" xr:uid="{D6AB8EE5-93D2-4B1F-AA15-A3019415165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3" authorId="0" shapeId="0" xr:uid="{CE540787-CB66-430B-9806-33DA8C579B2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3" authorId="0" shapeId="0" xr:uid="{0BC18AF2-E89E-4D81-999F-3A3BBF3E118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3" authorId="0" shapeId="0" xr:uid="{01737D96-B0B3-48A9-909B-F296616A6F8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3" authorId="0" shapeId="0" xr:uid="{4CB9A137-9ACB-415B-8182-81C15B844D1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3" authorId="0" shapeId="0" xr:uid="{F88C2678-7DFB-4C53-B54C-B08FCD795F1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3" authorId="0" shapeId="0" xr:uid="{7F36FECF-37C0-4D75-A220-49563326665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3" authorId="0" shapeId="0" xr:uid="{1A914A2C-2F59-4721-B699-8C60E6EB4F7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4" authorId="0" shapeId="0" xr:uid="{9E9F44FC-90A9-4D7A-9FE5-B2BFBD262D5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4" authorId="0" shapeId="0" xr:uid="{927AC356-7624-4F64-A644-3BB3B4AFDD9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4" authorId="0" shapeId="0" xr:uid="{8326464A-A2D4-492B-B314-67ADC03269D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4" authorId="0" shapeId="0" xr:uid="{79019910-6BCA-41BF-A7EB-04887E87E01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4" authorId="0" shapeId="0" xr:uid="{44A18A46-7649-4BA5-900F-925D588E5F2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4" authorId="0" shapeId="0" xr:uid="{B384F4F8-1305-4C4C-9591-152CAF49F9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4" authorId="0" shapeId="0" xr:uid="{A27EC1BE-F550-43B9-A7AE-45FEF0DDAF3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4" authorId="0" shapeId="0" xr:uid="{4824D8CD-B160-43FE-A472-7BB44ECEE60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4" authorId="0" shapeId="0" xr:uid="{CD652283-D54B-44C1-82A5-790D8C04FE7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4" authorId="0" shapeId="0" xr:uid="{704F1C76-1C03-46B8-BCD8-ECF619A98AF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4" authorId="0" shapeId="0" xr:uid="{08F9EA06-7FDE-479C-8225-37E1C5B87DE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5" authorId="0" shapeId="0" xr:uid="{3A608002-5943-4DD0-9092-57C22D989B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5" authorId="0" shapeId="0" xr:uid="{580D2FFD-803A-42E4-94F3-17F3CC73F62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5" authorId="0" shapeId="0" xr:uid="{70F148E1-4A73-4ABE-BF30-90F46778E47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5" authorId="0" shapeId="0" xr:uid="{16664E89-55C7-4918-9214-74F21974F3F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5" authorId="0" shapeId="0" xr:uid="{B16ABEE1-BE54-40D6-AC17-D61B91B29F3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5" authorId="0" shapeId="0" xr:uid="{29408307-E94E-4AAA-8338-CEAFF9E3B6F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5" authorId="0" shapeId="0" xr:uid="{8D1DCFF0-80B6-4EC0-B21E-0E621F3E887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5" authorId="0" shapeId="0" xr:uid="{F1927BE0-5A43-459A-BD75-7E5C9D82B63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5" authorId="0" shapeId="0" xr:uid="{92EBC6D2-3965-4E81-A2CD-ECAF968B87A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5" authorId="0" shapeId="0" xr:uid="{415D6AB4-03F9-4C22-ACE8-AA301202D44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5" authorId="0" shapeId="0" xr:uid="{CF0F55C4-F05E-468E-AD71-DF2AE614632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8" authorId="0" shapeId="0" xr:uid="{9330CD2C-9131-4485-A68F-2333DA0A419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8" authorId="0" shapeId="0" xr:uid="{F21BE88B-F22D-4606-9895-F057E145B57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8" authorId="0" shapeId="0" xr:uid="{B7736A0C-2374-431F-A909-3FE43A775DD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8" authorId="0" shapeId="0" xr:uid="{4BAABCC4-11AF-4D52-A603-73EDCBCBDA2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8" authorId="0" shapeId="0" xr:uid="{9CC148F1-9320-47C5-9740-51E63CAA506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8" authorId="0" shapeId="0" xr:uid="{53542402-F0AF-4720-A6F4-AD6D716A7F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8" authorId="0" shapeId="0" xr:uid="{BF439B9E-0A95-4230-BA56-5E51CEB2D0D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8" authorId="0" shapeId="0" xr:uid="{26BEA621-6FA6-483B-9216-A251F3FE028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8" authorId="0" shapeId="0" xr:uid="{FDD3C8DC-3CDA-4FC3-9BAB-0F7AD1DD53E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8" authorId="0" shapeId="0" xr:uid="{76744BD2-F6B4-4A19-9E6F-941BB849E97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8" authorId="0" shapeId="0" xr:uid="{1AA9D6BA-1D49-4570-8630-1C5BC1BFA9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9" authorId="0" shapeId="0" xr:uid="{AA290E54-A8F1-4F07-BBB9-BA53701C788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9" authorId="0" shapeId="0" xr:uid="{20CEC81A-AECF-4A1D-825D-BFA18582A82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9" authorId="0" shapeId="0" xr:uid="{F229E572-2583-48DE-B65B-69E930FA60D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9" authorId="0" shapeId="0" xr:uid="{07AFBE96-E9A5-45A5-8096-9197AD2A52A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9" authorId="0" shapeId="0" xr:uid="{7DDA59E5-318E-4684-9AA9-73A34F57A7F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9" authorId="0" shapeId="0" xr:uid="{E1299BE2-FCD0-4F04-AC73-803C24397BD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9" authorId="0" shapeId="0" xr:uid="{7D9070E3-0A32-4A50-B618-1CA7698939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9" authorId="0" shapeId="0" xr:uid="{38BE9CC8-0249-4BAE-B2D3-5C554931387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9" authorId="0" shapeId="0" xr:uid="{8087BF5E-A0F3-4CD7-A27A-A21102D62D1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9" authorId="0" shapeId="0" xr:uid="{892ECABF-DA63-488E-ACDB-4945523D978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9" authorId="0" shapeId="0" xr:uid="{E58014AF-80D6-4208-842D-89164C165C6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0" authorId="0" shapeId="0" xr:uid="{5EC02C20-96D7-44B7-960E-14755E9388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0" authorId="0" shapeId="0" xr:uid="{1FEB6F0C-CC56-4404-92C0-B9CC8E8D3CE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0" authorId="0" shapeId="0" xr:uid="{7E601BE0-FB1C-4965-96CA-159335D1E4A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0" authorId="0" shapeId="0" xr:uid="{7B75FEFC-8156-4EEE-9B88-D3ED577E227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0" authorId="0" shapeId="0" xr:uid="{EA35DF18-D02D-4A50-BB78-BFB2D4FDCCF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0" authorId="0" shapeId="0" xr:uid="{4C843315-4020-4C13-B79C-E1BAF4B16FC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0" authorId="0" shapeId="0" xr:uid="{943C6160-7D65-4D9E-B373-D6549FA6324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0" authorId="0" shapeId="0" xr:uid="{2A9BF29B-DF47-4540-AEEB-99B7406A2A5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0" authorId="0" shapeId="0" xr:uid="{686B3C9C-F6CB-42B7-920A-E8EF8985C5D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0" authorId="0" shapeId="0" xr:uid="{B5F2627A-5BA4-4896-9A4D-54CBAD4C4B1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0" authorId="0" shapeId="0" xr:uid="{7F7BC02B-B928-4881-ADF5-56D29EC3A83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1" authorId="0" shapeId="0" xr:uid="{EE7FF1DC-0719-4AA3-A982-3B44E9214E1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1" authorId="0" shapeId="0" xr:uid="{1F0C2F20-7C93-4367-96A8-19BFC34B40A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1" authorId="0" shapeId="0" xr:uid="{8882A485-3FD5-4315-A371-2DA4F36F568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1" authorId="0" shapeId="0" xr:uid="{7728ADA0-200E-4FB7-9CF0-A01F6C46854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1" authorId="0" shapeId="0" xr:uid="{A4A54735-1328-47CF-A30D-9E2F7E72079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1" authorId="0" shapeId="0" xr:uid="{F9F6AA78-4420-4876-95B7-28289BA36E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1" authorId="0" shapeId="0" xr:uid="{E349DC7B-E0BA-4CCB-B400-DADFA011678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1" authorId="0" shapeId="0" xr:uid="{8A4BC01E-6E88-4D5E-ADC1-BECEB3E3E6F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1" authorId="0" shapeId="0" xr:uid="{D0E0A5BE-E719-462F-B55A-D471F7AAAF0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1" authorId="0" shapeId="0" xr:uid="{A5C7AC3A-8217-4FDE-BDCA-5229E54234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1" authorId="0" shapeId="0" xr:uid="{CA639652-F6CF-47F4-A5F7-160BCF1A39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2" authorId="0" shapeId="0" xr:uid="{94635CBD-979D-4315-B578-20BBCD692A3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2" authorId="0" shapeId="0" xr:uid="{15D261D4-1819-4C11-A717-FDAD4A2930B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2" authorId="0" shapeId="0" xr:uid="{B02D9A7A-E8E5-4395-9738-C3083540771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2" authorId="0" shapeId="0" xr:uid="{79DA3AA7-A4A4-4371-AB6B-4322E9FED74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2" authorId="0" shapeId="0" xr:uid="{1FAAEC03-6FE0-472E-8B53-36C4707DA6B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2" authorId="0" shapeId="0" xr:uid="{F57B2B5A-B8DE-448E-9F33-C9A68E81D88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2" authorId="0" shapeId="0" xr:uid="{C481C091-8371-4688-B7C3-601C3B8A15C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2" authorId="0" shapeId="0" xr:uid="{CE078707-0C8A-4AD2-892E-CAD23BF393B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2" authorId="0" shapeId="0" xr:uid="{165FD6DB-7134-4A10-9410-D34BB4B80B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2" authorId="0" shapeId="0" xr:uid="{3DFEDFCD-24DF-4D98-A16C-FB559449503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2" authorId="0" shapeId="0" xr:uid="{2ACBFD4D-0118-4EAF-9CB8-44768A48ADD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3" authorId="0" shapeId="0" xr:uid="{83BEEF4B-A4F7-4729-BB67-997A200ED7C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3" authorId="0" shapeId="0" xr:uid="{1FC275D7-A3E0-491C-B009-124379D735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3" authorId="0" shapeId="0" xr:uid="{97AE7D9C-9AFE-4D5E-97DB-924B978C91E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3" authorId="0" shapeId="0" xr:uid="{4FEC8535-738E-4CA8-898A-A101239A2B3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3" authorId="0" shapeId="0" xr:uid="{38600766-C77C-40AC-9E3C-E893EA877E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3" authorId="0" shapeId="0" xr:uid="{8AC2ED07-ACAB-409C-8275-E55881E7487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3" authorId="0" shapeId="0" xr:uid="{12F8D498-5A0B-4E23-8211-669AD1E6D16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3" authorId="0" shapeId="0" xr:uid="{639753E7-66E3-456C-A8AA-BD8C73E32F5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3" authorId="0" shapeId="0" xr:uid="{EF04F015-ABF0-42DB-9D42-76DA816794E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3" authorId="0" shapeId="0" xr:uid="{1104D32E-83C5-4E5F-A577-0F80199D007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3" authorId="0" shapeId="0" xr:uid="{9EE058C2-88AD-48AE-AA79-3F5F328B088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4" authorId="0" shapeId="0" xr:uid="{0F3AA2B1-285B-4B21-B902-21E96D24776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4" authorId="0" shapeId="0" xr:uid="{B1E04500-00DF-410B-BD0F-2DE8E995E13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4" authorId="0" shapeId="0" xr:uid="{AF07F97B-29C3-44C0-A8BB-E45F9D89071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4" authorId="0" shapeId="0" xr:uid="{ADAFAA2C-1F57-426A-9F68-2715BF2B14A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4" authorId="0" shapeId="0" xr:uid="{F5A3574F-253C-4B8D-93D1-50425019151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4" authorId="0" shapeId="0" xr:uid="{998331F4-57BB-4230-946B-09BD3466888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4" authorId="0" shapeId="0" xr:uid="{A129C4B6-25DF-43E4-8E19-6E5024E84E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4" authorId="0" shapeId="0" xr:uid="{5EA4AE1C-F6EB-46CE-AF5B-D720839812A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4" authorId="0" shapeId="0" xr:uid="{B544137C-9558-440C-9078-99BC7DA6F14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4" authorId="0" shapeId="0" xr:uid="{0DD11FDA-67F4-45A7-9E49-FDCDCCDD6A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4" authorId="0" shapeId="0" xr:uid="{6DFE8F0C-2311-4BCC-A1BB-3C2E91A0EC7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5" authorId="0" shapeId="0" xr:uid="{542B2F6A-1C1F-4860-A7F0-D5906ADE514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5" authorId="0" shapeId="0" xr:uid="{97DB339C-F11A-4E6E-B987-E059DDDE356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5" authorId="0" shapeId="0" xr:uid="{2E8B6063-1E41-4991-80C4-B68A1F0BEA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5" authorId="0" shapeId="0" xr:uid="{89557FDC-7EEA-44E9-8D8A-82C10719B7C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5" authorId="0" shapeId="0" xr:uid="{6FEFE100-C309-48A2-9DC5-DF095E6744E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5" authorId="0" shapeId="0" xr:uid="{56266DAE-9C93-4304-93D4-DD27FFC6228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5" authorId="0" shapeId="0" xr:uid="{680DFFC8-5ABF-40FA-8BAB-D90890E6CF9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5" authorId="0" shapeId="0" xr:uid="{02F66C65-D7BD-478F-B9F1-0D528522D89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5" authorId="0" shapeId="0" xr:uid="{0732A84C-6802-40DD-88D5-ED2283722BF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5" authorId="0" shapeId="0" xr:uid="{85B3C8C5-6500-41CB-A94B-A578B24C709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5" authorId="0" shapeId="0" xr:uid="{5322A543-F21D-4E2F-99DF-CDF3F60BC6F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6" authorId="0" shapeId="0" xr:uid="{6308D42B-E464-4735-A43B-3E49FCE83C0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6" authorId="0" shapeId="0" xr:uid="{E58C01DD-0F14-4F13-B6B8-B59209CEBBB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6" authorId="0" shapeId="0" xr:uid="{FD273033-433C-4132-A6BF-77A4F743DAC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6" authorId="0" shapeId="0" xr:uid="{CC201088-5457-4795-93C4-419293263D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6" authorId="0" shapeId="0" xr:uid="{6776F5AC-3697-45BA-B904-E5FB17C9816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6" authorId="0" shapeId="0" xr:uid="{CC42F84C-F418-486E-96A7-6AEA8ABD079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6" authorId="0" shapeId="0" xr:uid="{A9006DE2-B517-470D-B2D3-F6C871827FF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6" authorId="0" shapeId="0" xr:uid="{2D45F1C9-4CF6-4E0D-9BA4-525424BAE9D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6" authorId="0" shapeId="0" xr:uid="{D361603F-0CD6-45A0-A4B5-AAF349D255C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6" authorId="0" shapeId="0" xr:uid="{891B9E8E-2303-46E2-9BCB-748E040B64C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6" authorId="0" shapeId="0" xr:uid="{D174AEB7-BDCA-4CD6-83FF-EF48D94ED23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7" authorId="0" shapeId="0" xr:uid="{E2174805-931D-4791-9297-3CD8A879B72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7" authorId="0" shapeId="0" xr:uid="{EF26D0B7-6ADD-42FC-9117-83D06920C7A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7" authorId="0" shapeId="0" xr:uid="{1CDE1E26-9D7C-4F99-93EA-F75FC2A67ED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7" authorId="0" shapeId="0" xr:uid="{8C679634-7D8C-4616-9DA7-AB7AF99E31D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7" authorId="0" shapeId="0" xr:uid="{102056D5-C3DE-4F98-8D80-B4542BE6763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7" authorId="0" shapeId="0" xr:uid="{5BF60F0E-A350-4EDD-94E4-DB8AB6D5684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7" authorId="0" shapeId="0" xr:uid="{639C0C0F-5815-40E1-A49D-9E68EBD1B61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7" authorId="0" shapeId="0" xr:uid="{2DE29DC8-BF2D-4C20-8D2D-DD721EF6125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7" authorId="0" shapeId="0" xr:uid="{E79914C5-C0BB-4AE2-BD90-3E5A5901627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7" authorId="0" shapeId="0" xr:uid="{9FEDC3B4-B90D-4692-8A1A-32D031DC8A9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7" authorId="0" shapeId="0" xr:uid="{6259D43B-C740-47A2-961D-EF04AFF6282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8" authorId="0" shapeId="0" xr:uid="{8B0EB984-86A2-4397-B12B-7366FAE1B3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8" authorId="0" shapeId="0" xr:uid="{E68E2D48-2465-41E3-99F4-38ADFD0D803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" authorId="0" shapeId="0" xr:uid="{3A55BC8B-B00B-457B-9EC8-9A0421EECD0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8" authorId="0" shapeId="0" xr:uid="{11C674D9-1526-4246-B5ED-BC9F1A1FF3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8" authorId="0" shapeId="0" xr:uid="{6090AA43-3275-4549-8B63-099D462A23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8" authorId="0" shapeId="0" xr:uid="{6948C06B-67B8-4837-A165-CB101F88243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8" authorId="0" shapeId="0" xr:uid="{566A729F-22E7-4B11-BB0F-CB1CC7E495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8" authorId="0" shapeId="0" xr:uid="{FBEBD46A-C99D-4800-95A1-E5B92F69B1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8" authorId="0" shapeId="0" xr:uid="{1DCFA49E-3F9C-454E-8064-F300BE4C65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8" authorId="0" shapeId="0" xr:uid="{857461AC-EE0F-4D03-9A37-C029E17AF14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8" authorId="0" shapeId="0" xr:uid="{21A52CE5-09CB-4FD4-BA05-8B3C0C239E4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9" authorId="0" shapeId="0" xr:uid="{CEC34298-066D-4E0B-8956-584BDAF81BD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9" authorId="0" shapeId="0" xr:uid="{F9A3D258-E856-45D3-90D7-E4D3B59905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9" authorId="0" shapeId="0" xr:uid="{9FD22047-277D-47C0-8DEC-A4A95AA1A8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9" authorId="0" shapeId="0" xr:uid="{A7F8D307-D866-4C15-97E5-B26A20E938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9" authorId="0" shapeId="0" xr:uid="{A5EA6BFE-C2FF-4D9C-8468-249FCC47393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9" authorId="0" shapeId="0" xr:uid="{87298ECB-21DE-4C6E-8F9F-489583C1BD1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9" authorId="0" shapeId="0" xr:uid="{725E04A7-3E41-4FF9-A3A8-6C28B7EFAF8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9" authorId="0" shapeId="0" xr:uid="{2BCB3D54-5EA0-4D58-B79C-3C56D69581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9" authorId="0" shapeId="0" xr:uid="{E8A079C8-6946-4CA7-B878-D2296071DF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9" authorId="0" shapeId="0" xr:uid="{5EA63FF3-A1B2-4D42-96F9-97FD696B9E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9" authorId="0" shapeId="0" xr:uid="{46A3D258-8473-44A2-A7A5-252D565DFE1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0" authorId="0" shapeId="0" xr:uid="{BA5595ED-5235-46BF-8F19-F6BA9ED18C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0" authorId="0" shapeId="0" xr:uid="{C1BDEA5E-C8F1-42D0-BCA3-DA962EFA36E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0" authorId="0" shapeId="0" xr:uid="{5D6DA2BF-6A94-4681-9361-58AFCBE4B52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0" authorId="0" shapeId="0" xr:uid="{FF626798-09E5-4E7F-AC6F-24CCCB165D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0" authorId="0" shapeId="0" xr:uid="{01DFB0A3-151D-4A61-8D79-259B244EBF7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0" authorId="0" shapeId="0" xr:uid="{1F9538A9-36B9-41A5-9AFA-88099F911F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0" authorId="0" shapeId="0" xr:uid="{AB975FF8-22C6-4E8F-9A85-374C4DBDDDA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0" authorId="0" shapeId="0" xr:uid="{DA6520B9-9AEA-4B8C-83FE-6052AAB215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0" authorId="0" shapeId="0" xr:uid="{60C0C230-3EDD-4EC8-A5C4-FFDAA2B0E4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0" authorId="0" shapeId="0" xr:uid="{0A6AF586-3499-4C22-BA2E-ED5C0D4AD0F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0" authorId="0" shapeId="0" xr:uid="{25883C1C-B786-4A33-AB23-6277A804FD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1" authorId="0" shapeId="0" xr:uid="{9DDAF42B-1428-47BE-9822-59C5DE844F5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1" authorId="0" shapeId="0" xr:uid="{EC1D0C94-7C9A-4FF6-ABD5-C4D7AEFEF7B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1" authorId="0" shapeId="0" xr:uid="{4B7735AD-78B0-45B2-80B7-53CE4E7E052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1" authorId="0" shapeId="0" xr:uid="{1883F7EC-E681-4492-A9D0-D20758CC90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1" authorId="0" shapeId="0" xr:uid="{C34D0604-DB31-4C95-BB93-642CA4335BE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1" authorId="0" shapeId="0" xr:uid="{BF1911F0-A945-49EC-B0C8-B44E85C886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1" authorId="0" shapeId="0" xr:uid="{014AA490-F8FF-486E-B450-D7E7792958B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1" authorId="0" shapeId="0" xr:uid="{DFE8909E-492F-4B2F-AF2C-870A6B17DC0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1" authorId="0" shapeId="0" xr:uid="{C3E8E7F0-2006-47CE-8B17-EA4E0E94717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1" authorId="0" shapeId="0" xr:uid="{38679269-4BB0-4608-AE2B-5884AEF14E1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1" authorId="0" shapeId="0" xr:uid="{6BFD06FD-E176-4E74-886A-0D2D249F27E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2" authorId="0" shapeId="0" xr:uid="{9CC5709C-C82C-4B00-A35C-7500EFD1B8B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2" authorId="0" shapeId="0" xr:uid="{3E827729-D0D5-43CF-9DBF-21C4EF48D9C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2" authorId="0" shapeId="0" xr:uid="{B030851D-816D-403A-BE31-834BEB3D20C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2" authorId="0" shapeId="0" xr:uid="{2E2F6339-3E02-4AA0-B3B9-7F634E34F07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2" authorId="0" shapeId="0" xr:uid="{770ECE4C-E55C-46FA-B85D-B97264B60A1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2" authorId="0" shapeId="0" xr:uid="{EDAA7C2E-065D-41E1-97B1-6CA09ED9985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2" authorId="0" shapeId="0" xr:uid="{80D419DF-8251-44FF-BAFC-E01E720A12D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2" authorId="0" shapeId="0" xr:uid="{BF3FFD6D-E732-4714-A628-5B34C80B8D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2" authorId="0" shapeId="0" xr:uid="{F50509FC-A657-43B9-BDDC-7ECDC386F54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2" authorId="0" shapeId="0" xr:uid="{107EECC9-C41F-4BD9-9AF9-B82EF320CD5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2" authorId="0" shapeId="0" xr:uid="{53601255-94C3-4455-9791-2FF14DFBCB4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3" authorId="0" shapeId="0" xr:uid="{8AF5027B-4713-4655-834E-1B928946BE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3" authorId="0" shapeId="0" xr:uid="{489FEEF3-90D6-411D-A7E0-A22AFD13A0A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3" authorId="0" shapeId="0" xr:uid="{61F99EE9-7162-4BAA-8EBD-C53FEF23F5A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3" authorId="0" shapeId="0" xr:uid="{5161EF63-BA8A-425A-8347-5F54B36AEE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3" authorId="0" shapeId="0" xr:uid="{DA4BD241-85F3-430F-B963-680A7F510D8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3" authorId="0" shapeId="0" xr:uid="{3291B587-2B10-4DFD-B35D-02402AD5CA4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3" authorId="0" shapeId="0" xr:uid="{33F457F5-E857-4094-AEE8-AE32CEB9F33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3" authorId="0" shapeId="0" xr:uid="{78A773CD-E9A2-4536-B573-85A447759AD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3" authorId="0" shapeId="0" xr:uid="{A8C01B2F-2F8A-488F-9DF1-954F83AAE11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3" authorId="0" shapeId="0" xr:uid="{6B0B35CE-1FA9-4F67-97D9-7E50D5E861A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3" authorId="0" shapeId="0" xr:uid="{CC76D9E2-3F50-44E3-AAE5-D2ECE3099A2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4" authorId="0" shapeId="0" xr:uid="{6E8CFCCE-6825-4891-A0B9-F19D75D5DBD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4" authorId="0" shapeId="0" xr:uid="{45841420-CCDF-418C-8C1A-6EC673F1723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4" authorId="0" shapeId="0" xr:uid="{5EEE1DA2-CADD-425A-AF29-B4C4A0341B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4" authorId="0" shapeId="0" xr:uid="{EB19848A-25E3-4CEE-9406-59256C2EF0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4" authorId="0" shapeId="0" xr:uid="{6F1C9C70-602A-4578-A6BE-DE0FC2441C1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4" authorId="0" shapeId="0" xr:uid="{B876917F-6A49-4A73-A526-5D170F0BD38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4" authorId="0" shapeId="0" xr:uid="{D708E9B9-2C6D-468F-961F-9AD9D46D79B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4" authorId="0" shapeId="0" xr:uid="{2C2D732D-DEF0-49E6-BD30-1F2C57DB93D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4" authorId="0" shapeId="0" xr:uid="{45E69FF9-E56B-4F1E-BB99-CCC19E3FE4E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4" authorId="0" shapeId="0" xr:uid="{383FAF74-92E8-409E-96CB-E9B5AFCB1BD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4" authorId="0" shapeId="0" xr:uid="{B65E0DC7-5E8E-4558-8E55-80B240B777B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5" authorId="0" shapeId="0" xr:uid="{05D2E3E0-3539-499E-B049-7E57D5C28F6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5" authorId="0" shapeId="0" xr:uid="{A8C17501-9A50-454B-9CC7-71DE22AE5F6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5" authorId="0" shapeId="0" xr:uid="{68E7C935-F6BC-4C60-8E8D-8837455473C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5" authorId="0" shapeId="0" xr:uid="{190A65DF-EBFC-4E68-99E7-8024294F296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5" authorId="0" shapeId="0" xr:uid="{FC47095C-9114-4B70-9C5B-D90E37CD0C4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5" authorId="0" shapeId="0" xr:uid="{D2AA32A8-AEEB-4AD9-B59B-344CC3AFA6F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5" authorId="0" shapeId="0" xr:uid="{DEC871C2-93AF-490D-905B-7F75F223FAB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5" authorId="0" shapeId="0" xr:uid="{07998402-687D-4FDD-9910-86FFC6BD15B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5" authorId="0" shapeId="0" xr:uid="{69984163-3FDD-478B-B15A-5AF8DA7C27D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5" authorId="0" shapeId="0" xr:uid="{A261A4FD-9B14-46B9-B588-ED0940624F8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5" authorId="0" shapeId="0" xr:uid="{71B6E6E7-9552-4CB5-BB84-9596BF988BB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6" authorId="0" shapeId="0" xr:uid="{58748D6F-5085-4934-AA87-A8A8DD9F9F5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6" authorId="0" shapeId="0" xr:uid="{BC5E15A4-D44E-4001-86BD-CA820D6C49F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6" authorId="0" shapeId="0" xr:uid="{A2EA5F11-4581-44BC-A253-FBCB032487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6" authorId="0" shapeId="0" xr:uid="{7DC937ED-A158-4BB4-B769-7D01AF4C6D9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6" authorId="0" shapeId="0" xr:uid="{A5523AE3-E597-4DAB-849B-97AB5C7F19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6" authorId="0" shapeId="0" xr:uid="{9A0B30A0-9FA1-4C86-BDBB-CAAAE6343E1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6" authorId="0" shapeId="0" xr:uid="{04082271-C618-4B30-9493-70C8F9EAC5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6" authorId="0" shapeId="0" xr:uid="{04695916-CA11-4594-A7F1-ABD8CE4162C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6" authorId="0" shapeId="0" xr:uid="{F4ADFBAB-9390-4346-9682-E6846EC19A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6" authorId="0" shapeId="0" xr:uid="{BF10F618-67ED-435F-BAF1-6FE723165B8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6" authorId="0" shapeId="0" xr:uid="{68B776C8-C4D0-427D-97BA-7CA3300DA33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7" authorId="0" shapeId="0" xr:uid="{C0DE4880-4AF8-4A9D-9A93-4A32D84A224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7" authorId="0" shapeId="0" xr:uid="{6EBE4D05-DB95-44FD-B094-AE02E1B777F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7" authorId="0" shapeId="0" xr:uid="{664DF864-DC19-40CD-A7F1-1F3BB7E1267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7" authorId="0" shapeId="0" xr:uid="{A80C4BFB-69AB-426A-8428-550C41E1816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7" authorId="0" shapeId="0" xr:uid="{3F56D0F6-BE57-4998-A00B-AF107F4482B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7" authorId="0" shapeId="0" xr:uid="{EB62B24C-2E6B-4A4D-9EB1-E36733B01F3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7" authorId="0" shapeId="0" xr:uid="{B4ED18DC-8809-4588-A4B2-09B86CFE313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7" authorId="0" shapeId="0" xr:uid="{0BBB27E6-546E-4F38-AF27-6B6423D1B9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7" authorId="0" shapeId="0" xr:uid="{5A3D6852-795A-44D5-9095-C8AE7E4EE81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7" authorId="0" shapeId="0" xr:uid="{073A1208-DAAB-4300-9EF7-045B6C6D1C1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7" authorId="0" shapeId="0" xr:uid="{DC1DAF19-E9A6-4AE5-A249-DAB446429B2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8" authorId="0" shapeId="0" xr:uid="{1CB762A3-46B9-4AD7-8865-9402D4DB19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8" authorId="0" shapeId="0" xr:uid="{E7462E45-87EC-4BDC-8041-EC6518657F7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8" authorId="0" shapeId="0" xr:uid="{CD86EFC8-4766-4505-BFFE-B321D303333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8" authorId="0" shapeId="0" xr:uid="{74E34F9F-C2DB-4144-B591-344482D39BE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8" authorId="0" shapeId="0" xr:uid="{35243D65-0F0F-4C4B-9805-DA869691159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8" authorId="0" shapeId="0" xr:uid="{7339399F-07B4-40FB-AF1B-26F30568F3C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8" authorId="0" shapeId="0" xr:uid="{77507CBD-1A36-4620-9C72-99355E8ECC9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8" authorId="0" shapeId="0" xr:uid="{1ED08070-8876-4B0F-970E-E233E943A9B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8" authorId="0" shapeId="0" xr:uid="{CFD4618B-C314-4F18-ABCD-6E042DD7FAC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8" authorId="0" shapeId="0" xr:uid="{AB67E2A6-231A-465C-BB69-86AE91248A9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8" authorId="0" shapeId="0" xr:uid="{9C8F7E93-B996-4E05-BF63-7D2FCC5E756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1" authorId="0" shapeId="0" xr:uid="{3E8A85DD-8C4A-4373-AB6D-028701707DF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1" authorId="0" shapeId="0" xr:uid="{646C365D-8E85-457C-91D5-5FBAD7A4344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1" authorId="0" shapeId="0" xr:uid="{B4904B7D-5424-421F-B212-8F005BE96EE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1" authorId="0" shapeId="0" xr:uid="{000F687D-9F23-47AB-8F43-0DA0007C069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1" authorId="0" shapeId="0" xr:uid="{F9174A54-63EF-4697-B3CA-75BA67B1E8E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1" authorId="0" shapeId="0" xr:uid="{467C459A-783C-4C56-8C04-C688ADFF6D3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1" authorId="0" shapeId="0" xr:uid="{13DC527F-A7D9-4DEB-AF78-A4B4F02E662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1" authorId="0" shapeId="0" xr:uid="{89BA377B-83BC-4B17-9CCD-4C6DEBFE6D9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1" authorId="0" shapeId="0" xr:uid="{4C1CFC62-0E47-49EA-813E-032544D8E3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1" authorId="0" shapeId="0" xr:uid="{8CE49ADB-D664-4B64-8F30-3EED8A10E88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1" authorId="0" shapeId="0" xr:uid="{1BF4634E-AB70-4386-B336-F4F08EF1C6E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2" authorId="0" shapeId="0" xr:uid="{8A2EB4D0-E64C-4A2A-AA51-D4224A294BB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2" authorId="0" shapeId="0" xr:uid="{2B888154-C01B-491B-AF4D-AB6F30A1DEB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2" authorId="0" shapeId="0" xr:uid="{E059C23A-D884-4FFC-B299-3A9CA2C3191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2" authorId="0" shapeId="0" xr:uid="{F8B60B97-79F2-45F0-81B3-82EA17E5438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2" authorId="0" shapeId="0" xr:uid="{8C0F7221-1431-49AC-84FE-275EF1D306E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2" authorId="0" shapeId="0" xr:uid="{6F77BF96-3E44-4BAA-9F0E-2458207643B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2" authorId="0" shapeId="0" xr:uid="{ED87EC0A-06E2-41CE-9152-86B8FF45170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2" authorId="0" shapeId="0" xr:uid="{51F46408-C2D4-494E-9C48-27EBE5EBD46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2" authorId="0" shapeId="0" xr:uid="{94773B00-BD23-47E0-BE0A-C0AFB2E32C1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2" authorId="0" shapeId="0" xr:uid="{167F79DB-80F6-441E-9DB5-0B7EDB75EBD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2" authorId="0" shapeId="0" xr:uid="{4EACF341-64C4-43D8-B024-757979B2DC3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3" authorId="0" shapeId="0" xr:uid="{DDED9473-187D-44F2-98D9-2AA7721727D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3" authorId="0" shapeId="0" xr:uid="{8BEDEAD1-4C56-477C-9B41-C11A1F1140A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3" authorId="0" shapeId="0" xr:uid="{6E0E5C0C-195D-4252-B696-A93A81FBAEA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3" authorId="0" shapeId="0" xr:uid="{8C21FF2F-8B53-46DD-AEF8-D54878C13F6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3" authorId="0" shapeId="0" xr:uid="{CBDA44ED-199E-490B-BD45-1AD3420038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3" authorId="0" shapeId="0" xr:uid="{07A12C08-760E-4890-8F94-8D1C71AABAB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3" authorId="0" shapeId="0" xr:uid="{DD606090-A49D-476C-9E44-ADE6B8A8A3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3" authorId="0" shapeId="0" xr:uid="{EE7E3366-A9F9-4381-A322-D652BBF05EA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3" authorId="0" shapeId="0" xr:uid="{8979C6E1-3599-44F4-B9F1-BE168E1E063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3" authorId="0" shapeId="0" xr:uid="{44995813-2D84-4153-B5F0-B82372A1A22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3" authorId="0" shapeId="0" xr:uid="{97B5B25C-E244-4885-AC85-3C718918C70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4" authorId="0" shapeId="0" xr:uid="{D6F6824F-13C3-42AD-8A59-BD4AEBD5277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4" authorId="0" shapeId="0" xr:uid="{AF51ED19-E034-4F16-BB16-50030C6537E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4" authorId="0" shapeId="0" xr:uid="{AB04B689-7B54-497F-97CB-F2C9658FC4E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4" authorId="0" shapeId="0" xr:uid="{6E37AC46-9156-43FD-9C81-A8ED03C18E8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4" authorId="0" shapeId="0" xr:uid="{2AE2B678-7922-4CF6-B1DF-DE9B3F4DDF0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4" authorId="0" shapeId="0" xr:uid="{45C61B9F-3D7F-496D-A628-F802AB13596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4" authorId="0" shapeId="0" xr:uid="{610B0327-1E3C-47FF-9404-D210424B7E2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4" authorId="0" shapeId="0" xr:uid="{B5465BDD-3660-4FDD-A475-559AEAB928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4" authorId="0" shapeId="0" xr:uid="{604ACDA9-2E3D-4C06-9459-1DEB1CE31C5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4" authorId="0" shapeId="0" xr:uid="{ECBBB940-7518-4B53-BB37-432E358E5C0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4" authorId="0" shapeId="0" xr:uid="{625C94E0-FA7E-4F63-98C6-5D1C82A75F9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5" authorId="0" shapeId="0" xr:uid="{F72F3043-792F-488E-88D7-FDB98931A09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5" authorId="0" shapeId="0" xr:uid="{FCCD7D80-0026-4A2E-8990-A87CD0B27CF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5" authorId="0" shapeId="0" xr:uid="{CB2D14D7-4121-41B9-AC5A-C20BAEAE477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5" authorId="0" shapeId="0" xr:uid="{FFE9D49F-8C72-4D05-9EB5-899AB289A6B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5" authorId="0" shapeId="0" xr:uid="{AB12ACF7-C0DC-4952-8E67-883BDE50D6E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5" authorId="0" shapeId="0" xr:uid="{FC7A943B-CC42-4338-B76F-6CD47C5D417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5" authorId="0" shapeId="0" xr:uid="{656D3AB8-9B0A-4658-B380-D3A3B46E440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5" authorId="0" shapeId="0" xr:uid="{63AAE6FA-E358-45F8-8853-F5C5BBE5478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5" authorId="0" shapeId="0" xr:uid="{3D27FE03-487D-4340-A9E7-AC1F923CC23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5" authorId="0" shapeId="0" xr:uid="{163597AA-1A26-41A5-9C84-264B12279A5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5" authorId="0" shapeId="0" xr:uid="{C5524B8D-C5B1-4F01-8BFB-6D1E7BE516D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6" authorId="0" shapeId="0" xr:uid="{29CDBEE0-BECF-42B4-95FE-69BAF8C4BA1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6" authorId="0" shapeId="0" xr:uid="{2F490DB8-F3C6-4542-BC64-75FF535915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6" authorId="0" shapeId="0" xr:uid="{9497FDC0-CB7D-4428-BF6A-8FEE89BE400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6" authorId="0" shapeId="0" xr:uid="{9B9AA44F-CBDA-438C-9A6A-E8D8A4D202F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6" authorId="0" shapeId="0" xr:uid="{07CBD266-24A5-4732-A788-9B5272174AA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6" authorId="0" shapeId="0" xr:uid="{3EDCA825-D1B0-4EF1-BFA7-8797949445B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6" authorId="0" shapeId="0" xr:uid="{60622DD6-F737-477A-90EE-6527826AD65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6" authorId="0" shapeId="0" xr:uid="{F6C70B0E-BA92-476A-B153-922165B4368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6" authorId="0" shapeId="0" xr:uid="{82AC94D3-3D55-4925-8975-D20DCAD9DE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6" authorId="0" shapeId="0" xr:uid="{DE004124-C074-45EC-9B15-291C4C838F1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6" authorId="0" shapeId="0" xr:uid="{0274CAAF-2CEB-4370-BF7E-792282AEB76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7" authorId="0" shapeId="0" xr:uid="{8734708B-456D-4FCB-B910-805DABBE60A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7" authorId="0" shapeId="0" xr:uid="{E730D45A-C3B1-4DE7-BDE0-E2E2D0E7CC1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7" authorId="0" shapeId="0" xr:uid="{FBFF0C15-6B5C-4695-8884-81CCCB1B30E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7" authorId="0" shapeId="0" xr:uid="{F27A74A7-5272-4164-8575-1197799924C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7" authorId="0" shapeId="0" xr:uid="{8DA65646-68D5-45DD-BC12-12936DED520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7" authorId="0" shapeId="0" xr:uid="{70C53980-A0F7-42EF-9557-3C64FB0CD1C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7" authorId="0" shapeId="0" xr:uid="{7FC29593-2E3E-4832-835F-99BB95250A1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7" authorId="0" shapeId="0" xr:uid="{BAC7BF22-6B5A-4AA2-BAC2-D9F49D780E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7" authorId="0" shapeId="0" xr:uid="{C0F40247-6B74-4277-A35B-0C5ACE5CF8A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7" authorId="0" shapeId="0" xr:uid="{29F7EAEF-1CB1-40B9-91C9-E6647B36C90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7" authorId="0" shapeId="0" xr:uid="{A4EA7FF5-BC15-477F-9FA2-0EC35E6DA9D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8" authorId="0" shapeId="0" xr:uid="{D6B2F2E8-A9DE-477C-B358-C34E6FF4766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8" authorId="0" shapeId="0" xr:uid="{737A8754-63B9-46D4-9EDE-882E5D14862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8" authorId="0" shapeId="0" xr:uid="{EE3986D5-A2CD-4677-9010-D0650B60F1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8" authorId="0" shapeId="0" xr:uid="{8DB82C31-16E9-4168-9F8C-8B85E4D6CD0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8" authorId="0" shapeId="0" xr:uid="{773A0F4F-11A0-40A5-BE99-3E9B161E55C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8" authorId="0" shapeId="0" xr:uid="{0F50B3E1-E9B9-4CD3-AF91-478E9B4730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8" authorId="0" shapeId="0" xr:uid="{0E0F207F-7AFF-4138-BACA-7550724BFCC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8" authorId="0" shapeId="0" xr:uid="{CABD870F-DB6E-4DBB-8787-7416BC3C94C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8" authorId="0" shapeId="0" xr:uid="{805D0FED-6C61-4DA7-AA1F-C726DA77F25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8" authorId="0" shapeId="0" xr:uid="{B7FC4508-7571-47B1-B609-E6F756A1549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8" authorId="0" shapeId="0" xr:uid="{B2B670B4-3B07-4E23-B9AB-18523DF7D0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9" authorId="0" shapeId="0" xr:uid="{55A074D3-AE91-45E0-B45F-87930C25E40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9" authorId="0" shapeId="0" xr:uid="{01E7E089-9C0D-41AE-89DC-CA2A6BB18D5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9" authorId="0" shapeId="0" xr:uid="{9FD3E24E-AC6E-4588-9BCB-ED8498F2F29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9" authorId="0" shapeId="0" xr:uid="{4BEEABBF-7D72-40F6-9B09-B8F4ABE0997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9" authorId="0" shapeId="0" xr:uid="{E5ACADE8-4BD5-4966-A504-7E06196366B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9" authorId="0" shapeId="0" xr:uid="{71385567-E8B9-4BD9-8F92-D9965EA6F68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9" authorId="0" shapeId="0" xr:uid="{07ADDD11-3732-47E3-A901-D4BF5105139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9" authorId="0" shapeId="0" xr:uid="{203B1D2F-E52F-4258-BD75-77A76730351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9" authorId="0" shapeId="0" xr:uid="{5FBF16FE-DAAD-4022-BA70-84C417D0B76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9" authorId="0" shapeId="0" xr:uid="{9EDAE9EF-DFA9-46D4-AC07-EF6DD82160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9" authorId="0" shapeId="0" xr:uid="{5FE42C2F-39DF-4108-A180-6CC71733D72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0" authorId="0" shapeId="0" xr:uid="{1BB78025-51C8-47E3-9BD9-358FFEA0C4B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0" authorId="0" shapeId="0" xr:uid="{DC3AB048-99C8-4F31-84C9-7569A09E403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0" authorId="0" shapeId="0" xr:uid="{AC519639-5A27-429A-9E85-B7FD3F96BBE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0" authorId="0" shapeId="0" xr:uid="{DBD38140-6D82-4F0E-9119-C71DBE3A8D0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0" authorId="0" shapeId="0" xr:uid="{A6BEB393-E93C-4A90-809A-507EE190FD1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0" authorId="0" shapeId="0" xr:uid="{0F25F98C-C89C-43B8-A598-B2B3C8F7B02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0" authorId="0" shapeId="0" xr:uid="{709C1804-0515-4325-BE5D-F017FE1F4FF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0" authorId="0" shapeId="0" xr:uid="{971BE220-83DE-41B1-A052-8A0A8F8EC91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0" authorId="0" shapeId="0" xr:uid="{F69FDF88-DF65-46CE-957C-512896C842E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0" authorId="0" shapeId="0" xr:uid="{A129C48E-06BF-4C82-88CA-FA96361996D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0" authorId="0" shapeId="0" xr:uid="{B11C29A7-6A1A-4956-804E-F698DA7AA0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1" authorId="0" shapeId="0" xr:uid="{B1B05843-F661-44B8-AB3E-4CACB09680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1" authorId="0" shapeId="0" xr:uid="{54F374B9-5DF9-46BC-99C7-478EBA91C57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1" authorId="0" shapeId="0" xr:uid="{0D4CAC2F-91E9-4E01-8F69-5BA1E8384CB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1" authorId="0" shapeId="0" xr:uid="{FB8C5F51-CBC1-4920-A853-96D723CE7E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1" authorId="0" shapeId="0" xr:uid="{3A2C0040-56EA-4E1A-91DB-D9E7B30E9A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1" authorId="0" shapeId="0" xr:uid="{A62BBA8B-6014-429B-A550-C0591244F5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1" authorId="0" shapeId="0" xr:uid="{F62473E9-3E39-4BCE-ADB3-FD76AA1B32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1" authorId="0" shapeId="0" xr:uid="{D19F2D99-2007-47BF-AFF7-80F0F31891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1" authorId="0" shapeId="0" xr:uid="{7F96A890-75D8-4D31-A50D-8611049C79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1" authorId="0" shapeId="0" xr:uid="{3CA12AA3-F0A4-4249-8B40-F03AA51F073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1" authorId="0" shapeId="0" xr:uid="{B0926ECB-AA9A-4308-8B2A-BA8CF9793AF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2" authorId="0" shapeId="0" xr:uid="{83C51986-23BE-479A-84D2-5891A7FE8A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2" authorId="0" shapeId="0" xr:uid="{240BCE0E-023B-4856-A248-4731E024351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2" authorId="0" shapeId="0" xr:uid="{CC6A37C0-226C-4243-8398-961C105ED4A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2" authorId="0" shapeId="0" xr:uid="{A104DBE9-94AF-42AF-A49C-84AFAFF9FC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2" authorId="0" shapeId="0" xr:uid="{5D0924E8-3EAB-4EE4-85CA-A82DF6348F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2" authorId="0" shapeId="0" xr:uid="{DF9AF3AE-2B5A-4E81-A562-592AD7576A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2" authorId="0" shapeId="0" xr:uid="{7C5B524D-6297-4E9C-900E-1C96F75680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2" authorId="0" shapeId="0" xr:uid="{55F0EAAA-D261-46FC-B7D8-5AB87C783F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2" authorId="0" shapeId="0" xr:uid="{89872E1A-AB21-4890-A42F-4ADC2CBC733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2" authorId="0" shapeId="0" xr:uid="{6A87A62E-0D16-4996-86EA-5172510B7C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2" authorId="0" shapeId="0" xr:uid="{3302284A-F35F-47BD-97F6-E84ACD741CA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3" authorId="0" shapeId="0" xr:uid="{B7587E1B-0AA4-48C7-B358-BA8B6DC476B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3" authorId="0" shapeId="0" xr:uid="{5EAE6C0F-E007-4967-B8F5-1CC287A016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3" authorId="0" shapeId="0" xr:uid="{1E3F7008-71AA-43C0-9C19-DAF4FC15C0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3" authorId="0" shapeId="0" xr:uid="{9BDEFD52-9D4B-4C14-BB46-83C81AC3C0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3" authorId="0" shapeId="0" xr:uid="{F1F8E53F-E616-40AC-89BB-29D7E4FE74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3" authorId="0" shapeId="0" xr:uid="{F259160B-A60D-419B-B18C-538401A66D9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3" authorId="0" shapeId="0" xr:uid="{794B295F-42E7-4D0C-8827-A633C0A95BF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3" authorId="0" shapeId="0" xr:uid="{F4C6566E-0CB2-4AF7-9682-77FEBAA5F50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3" authorId="0" shapeId="0" xr:uid="{FDD14011-3FF0-4AD4-81A6-EB0AF69E17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3" authorId="0" shapeId="0" xr:uid="{A1C76846-6A0C-4C2B-8369-57159CD7298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3" authorId="0" shapeId="0" xr:uid="{2CF6FF52-68A4-4AC2-B484-7F1CBA31D12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4" authorId="0" shapeId="0" xr:uid="{1DBF1655-4899-47DB-AAC0-FC1E757D567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4" authorId="0" shapeId="0" xr:uid="{9C6F4948-4EAA-4B2F-909A-E8D3EE91CEA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4" authorId="0" shapeId="0" xr:uid="{01248AAB-CD75-4B23-AA35-48B5188A1D9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4" authorId="0" shapeId="0" xr:uid="{9E2B2773-36DD-412E-93DC-AF970B713F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4" authorId="0" shapeId="0" xr:uid="{3E1A0434-BC55-415A-94D1-8B035BA59B4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4" authorId="0" shapeId="0" xr:uid="{84CF99B4-D00D-4DEC-BA29-BFDC1C324D3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4" authorId="0" shapeId="0" xr:uid="{A08A711C-F7E2-4670-91DF-9C210B5AD4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4" authorId="0" shapeId="0" xr:uid="{4AD63BBB-4306-4AC2-ADDB-CABB90190D9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4" authorId="0" shapeId="0" xr:uid="{902746EE-A9B3-4D32-A202-E4F71C5465D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4" authorId="0" shapeId="0" xr:uid="{FF26CD23-0D94-4FAD-99EB-0C9705D94D9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4" authorId="0" shapeId="0" xr:uid="{1F8A4DA8-01F1-49EF-AE7C-8793ABEED12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5" authorId="0" shapeId="0" xr:uid="{E669A87D-1304-4FA7-96B1-D757F14C119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5" authorId="0" shapeId="0" xr:uid="{AC83F8AF-408E-41A3-9482-A0CAA91BA8D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5" authorId="0" shapeId="0" xr:uid="{4D812D76-FD4D-4C23-B1CD-805944A39B6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5" authorId="0" shapeId="0" xr:uid="{DE0225C5-2F42-4368-8303-83D81E50057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5" authorId="0" shapeId="0" xr:uid="{606C0FDA-C861-49A2-B9EC-717EBB50E07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5" authorId="0" shapeId="0" xr:uid="{175519D2-AD85-40C9-998C-EDA4DE92B06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5" authorId="0" shapeId="0" xr:uid="{B45B748D-AC55-409B-855A-2116F5F6BD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5" authorId="0" shapeId="0" xr:uid="{F7286ECD-37BB-49FC-AFC0-38783F043AA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5" authorId="0" shapeId="0" xr:uid="{A4BCEBA8-A3C4-476A-99A4-727DAEA208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5" authorId="0" shapeId="0" xr:uid="{65B736D0-B283-4FA5-8268-349CA451551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5" authorId="0" shapeId="0" xr:uid="{F4DBD560-F194-4E4B-BAA5-1F38F37D166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6" authorId="0" shapeId="0" xr:uid="{2DF4B223-2D93-46C0-B86A-D34F9E0197B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6" authorId="0" shapeId="0" xr:uid="{327031CC-BD4F-4D0E-9D05-33CC85FCE29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6" authorId="0" shapeId="0" xr:uid="{3E6E2F2F-0A80-4815-A9DC-C433C4CDF8B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6" authorId="0" shapeId="0" xr:uid="{967E86DE-906E-4F3B-A3F7-1DA44C8E3C1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6" authorId="0" shapeId="0" xr:uid="{436E6261-5859-428E-89D1-7B0BDF2C706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6" authorId="0" shapeId="0" xr:uid="{7BB556EF-F0A0-4EBB-A399-8BEF9516288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6" authorId="0" shapeId="0" xr:uid="{03662C92-5D02-4B13-AF34-C222737F501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6" authorId="0" shapeId="0" xr:uid="{8D70EEA1-AEE8-47B9-B3A1-BC04AE0711F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6" authorId="0" shapeId="0" xr:uid="{ED45D13F-1298-4334-A8AC-0ACEEC44BED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6" authorId="0" shapeId="0" xr:uid="{29AD0794-241E-4DAB-8D5C-1DD8EF5002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6" authorId="0" shapeId="0" xr:uid="{C58EF9F3-5B80-46C5-975F-4BF879C2A1B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7" authorId="0" shapeId="0" xr:uid="{10B9638A-58B1-46DC-B523-AE434D23D37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7" authorId="0" shapeId="0" xr:uid="{173F3DF9-014F-4C4E-A589-3215FECA32A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7" authorId="0" shapeId="0" xr:uid="{01244824-9E2D-43BF-BA80-4C807432FB1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7" authorId="0" shapeId="0" xr:uid="{78B21100-D59B-454D-B0A6-37DCEC832BE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7" authorId="0" shapeId="0" xr:uid="{2CCA2443-A19A-436F-9A5A-8777B2153CC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7" authorId="0" shapeId="0" xr:uid="{C09C5794-F3C6-4E27-93AA-BD2A32B691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7" authorId="0" shapeId="0" xr:uid="{85444A3B-F8D4-4CA1-867E-2B290C0EE2E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7" authorId="0" shapeId="0" xr:uid="{5A35DE5E-1CCD-46FC-AAC2-0BF6D796D6E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7" authorId="0" shapeId="0" xr:uid="{F7436344-C212-479F-BEAC-F125F02D9BD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7" authorId="0" shapeId="0" xr:uid="{180F633E-09EB-4A5D-9B7D-4338FCF6C2C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7" authorId="0" shapeId="0" xr:uid="{6ABF383C-C663-4CCA-9FE7-603AD0B999F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8" authorId="0" shapeId="0" xr:uid="{FCB51D78-E70C-4F2A-84E2-C8D2B01BD11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8" authorId="0" shapeId="0" xr:uid="{3DC5718C-9EDD-4A85-8A2E-E4CC21E5890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8" authorId="0" shapeId="0" xr:uid="{B63CA908-FB44-4690-BAF6-9437DDC3390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8" authorId="0" shapeId="0" xr:uid="{80BB0928-6130-4D5C-A4DC-68F48F064CC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8" authorId="0" shapeId="0" xr:uid="{248B900E-A5A5-416C-8DC0-E5E78DAF642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8" authorId="0" shapeId="0" xr:uid="{8FCF0AD5-EA85-470F-8524-705DFAE7AE8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8" authorId="0" shapeId="0" xr:uid="{7122AE77-F231-44DE-870F-B5E872D2DE3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8" authorId="0" shapeId="0" xr:uid="{183077AA-7DF0-4689-8F91-C02FD4487C9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8" authorId="0" shapeId="0" xr:uid="{C075BDE7-D954-4354-8792-E7293B40D32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8" authorId="0" shapeId="0" xr:uid="{6165A1FD-291F-43BF-83DF-9DD01E816C3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8" authorId="0" shapeId="0" xr:uid="{3CD7D63C-EFC8-4499-A3FC-8D623BAF4E0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9" authorId="0" shapeId="0" xr:uid="{21EA4E98-47B4-4986-AAE3-DBAC2BEF604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9" authorId="0" shapeId="0" xr:uid="{C7B05959-8062-440A-B6C0-7B515E95E83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9" authorId="0" shapeId="0" xr:uid="{C245057D-82CF-47DD-BBE3-3AEE7D6AE78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9" authorId="0" shapeId="0" xr:uid="{0551F314-FA8E-40B0-85F9-7ADCF27DF38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9" authorId="0" shapeId="0" xr:uid="{6B41106F-E9A6-4BB1-BE48-225BDCD510A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9" authorId="0" shapeId="0" xr:uid="{66B9ED7C-92CA-444C-AD91-3A31C1571B0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9" authorId="0" shapeId="0" xr:uid="{C3549D0C-3786-4996-B81F-06AAB61ECFA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9" authorId="0" shapeId="0" xr:uid="{6E4C8B8E-6B39-4244-BBFA-84A36659069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9" authorId="0" shapeId="0" xr:uid="{F9149A64-7566-41B3-9968-334816A3974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9" authorId="0" shapeId="0" xr:uid="{4639C988-011C-480F-A9AA-EE4113A01F9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9" authorId="0" shapeId="0" xr:uid="{1B8A58D8-68D1-46B1-BE26-B6E403A2CF4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0" authorId="0" shapeId="0" xr:uid="{584951F9-95E2-4547-BAF8-F0E2A088B3D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0" authorId="0" shapeId="0" xr:uid="{09D11E77-61A4-474E-9F8D-2AF0C6501B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0" authorId="0" shapeId="0" xr:uid="{6629CA2D-2EB1-416C-B741-2D4CEB83737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0" authorId="0" shapeId="0" xr:uid="{083F0F37-2ACD-4FB9-9D7E-4E4CD8824E0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0" authorId="0" shapeId="0" xr:uid="{346E6A19-5D32-4AAB-8FA2-998A4EC9DD5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0" authorId="0" shapeId="0" xr:uid="{2C7CF3C4-11D2-467E-9F93-7FE718EB1C8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0" authorId="0" shapeId="0" xr:uid="{018F3787-E182-4E65-8559-287CAA8DB7D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0" authorId="0" shapeId="0" xr:uid="{5B694F1A-F907-411D-AB3F-7C555FCB3BD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0" authorId="0" shapeId="0" xr:uid="{302F46C9-3802-4910-BE96-EBB2F72CCC9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0" authorId="0" shapeId="0" xr:uid="{62544147-819F-4144-A942-E934C5D6254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0" authorId="0" shapeId="0" xr:uid="{FB270745-69FE-401E-83E8-9C213977D40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1" authorId="0" shapeId="0" xr:uid="{3461D4DB-E07D-48D6-89BE-0386555F0B7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1" authorId="0" shapeId="0" xr:uid="{84BE6A26-9996-4C51-89F4-22D96E18FDB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1" authorId="0" shapeId="0" xr:uid="{0D3A7D59-C2E2-47B5-A0BE-5EF01416211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1" authorId="0" shapeId="0" xr:uid="{590D118D-0ABD-4E1D-BB60-2846F5E49F4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1" authorId="0" shapeId="0" xr:uid="{2476107E-11F6-4826-8F60-36571947574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1" authorId="0" shapeId="0" xr:uid="{B614FFA1-C1CF-40D9-AD2D-296DB6897B2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1" authorId="0" shapeId="0" xr:uid="{E7AEB509-3E37-4A29-B7B8-2EDF6476C6A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1" authorId="0" shapeId="0" xr:uid="{4B3F58DA-F6AA-4250-B8EB-A73453A70DD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1" authorId="0" shapeId="0" xr:uid="{FCAB09B8-E336-416D-A84A-C4A92654C99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1" authorId="0" shapeId="0" xr:uid="{6F18D333-BFEE-4C13-9E2F-1C67A16C06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1" authorId="0" shapeId="0" xr:uid="{2D600AEC-DFAF-45BC-B6C2-BC144E8DCB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4" authorId="0" shapeId="0" xr:uid="{927AE4E2-9BB0-48F6-8286-80852D18CFF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4" authorId="0" shapeId="0" xr:uid="{37E7EA14-4143-45A4-9E7B-944CA8008C5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4" authorId="0" shapeId="0" xr:uid="{4B40A862-A0C4-475E-B6F8-DC740CCC2D6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4" authorId="0" shapeId="0" xr:uid="{7B75AC9A-1D98-489A-ADA1-9600E42D063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4" authorId="0" shapeId="0" xr:uid="{89E0BADD-286D-426E-8939-DA3B5BE03F1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4" authorId="0" shapeId="0" xr:uid="{B093F126-29ED-4EFA-8CBB-EF73DE33097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4" authorId="0" shapeId="0" xr:uid="{57B89594-90C4-4E76-9292-5AAE50285B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4" authorId="0" shapeId="0" xr:uid="{EE1E1841-416F-4884-84AF-D1B4BAF5BF8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4" authorId="0" shapeId="0" xr:uid="{8753FAE6-D227-42A0-9308-58C0FBADD58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4" authorId="0" shapeId="0" xr:uid="{4A08F576-03F4-45B6-9141-EA9E6C17FFD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4" authorId="0" shapeId="0" xr:uid="{035C226A-0D19-4E32-9425-BB376C82683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5" authorId="0" shapeId="0" xr:uid="{0331C812-2779-4448-9128-4866DE92DA6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5" authorId="0" shapeId="0" xr:uid="{62443241-7A32-4AEF-82F5-7B2F2A32CD9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5" authorId="0" shapeId="0" xr:uid="{FFBC819F-7E8E-4C0B-AE9C-A4ED9C6FC46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5" authorId="0" shapeId="0" xr:uid="{65F0A205-F64B-419E-8DF8-C461D5FD143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5" authorId="0" shapeId="0" xr:uid="{1961A49E-E839-4AF5-8512-CFAD270D086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5" authorId="0" shapeId="0" xr:uid="{46AA3981-350D-4986-B54C-2A9285548AC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5" authorId="0" shapeId="0" xr:uid="{15514CAD-64D7-4330-AAF8-1F9665CC410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5" authorId="0" shapeId="0" xr:uid="{0377A7F9-7B9C-44CB-8C8F-A77848BF530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5" authorId="0" shapeId="0" xr:uid="{5F780749-A74B-4362-BE1A-ED4EE35143A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5" authorId="0" shapeId="0" xr:uid="{5AA9703F-3882-4F8C-8C80-1EC1D8F142C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5" authorId="0" shapeId="0" xr:uid="{FE538B0A-142A-401C-A042-77CBDFAE3FF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6" authorId="0" shapeId="0" xr:uid="{678E6159-C238-4C4B-8351-B9F25636E52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6" authorId="0" shapeId="0" xr:uid="{59B70887-8EBE-49F6-9B0C-B80DFFE72F1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6" authorId="0" shapeId="0" xr:uid="{36E0599A-A6D3-46F1-9CAD-2410D0E74FB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6" authorId="0" shapeId="0" xr:uid="{8D1EAC64-EB2B-4098-B60F-B67CD144370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6" authorId="0" shapeId="0" xr:uid="{EB9F5FC9-26F0-4C12-8BA8-2EF0FE67301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6" authorId="0" shapeId="0" xr:uid="{C579A6E1-4C67-4262-BDE9-B0E122D7BE3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6" authorId="0" shapeId="0" xr:uid="{AF32F50B-E740-485E-A775-100E38BF907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6" authorId="0" shapeId="0" xr:uid="{920C8BCC-7738-4175-BECB-C9E3ED0ECD8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6" authorId="0" shapeId="0" xr:uid="{0FB6C6DE-6B37-46E0-8017-B9AD0485521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6" authorId="0" shapeId="0" xr:uid="{1CAA5FB5-087A-440D-8614-9A80E5891C1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6" authorId="0" shapeId="0" xr:uid="{356DE438-94B1-48C3-B27E-DF2D1973729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7" authorId="0" shapeId="0" xr:uid="{B8602DBA-496F-4673-9304-9959BBFC18E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7" authorId="0" shapeId="0" xr:uid="{E3E58EA8-0A58-4C24-A428-1F5E4F0192B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7" authorId="0" shapeId="0" xr:uid="{4574C574-A02A-47FB-9C1A-8D9713B1C7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7" authorId="0" shapeId="0" xr:uid="{0E7882AD-3FA0-46AB-9B53-1BFF30F97F4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7" authorId="0" shapeId="0" xr:uid="{75EE17F7-57C5-4FB8-9C17-01D5A8F2667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7" authorId="0" shapeId="0" xr:uid="{0B0C57B7-E5D1-4D3C-8C7D-3F96A08B5CB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7" authorId="0" shapeId="0" xr:uid="{820F7137-B836-4E56-8385-7F0A26E7D0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7" authorId="0" shapeId="0" xr:uid="{0546E200-2598-4843-8954-D3D959F7861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7" authorId="0" shapeId="0" xr:uid="{0530485D-4908-4441-8A15-A1E5AC563C2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7" authorId="0" shapeId="0" xr:uid="{531E23D4-B279-4C59-BFAE-29F44551B00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7" authorId="0" shapeId="0" xr:uid="{7584C07D-5D75-450E-AD35-DD15A606D66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8" authorId="0" shapeId="0" xr:uid="{44E3E4A6-C5C2-4952-AD3D-0F530B955A0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8" authorId="0" shapeId="0" xr:uid="{568A6793-8724-4889-A1A2-F3E221A2090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8" authorId="0" shapeId="0" xr:uid="{2149766C-C8BA-499E-95B9-B9420426896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8" authorId="0" shapeId="0" xr:uid="{7391E47A-DF6A-4F43-87CF-1C64C1FAC18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8" authorId="0" shapeId="0" xr:uid="{5CFDACE4-541E-4B8F-AEAE-559B4571280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8" authorId="0" shapeId="0" xr:uid="{9911784E-34AA-4DA9-9998-A7FB045948A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8" authorId="0" shapeId="0" xr:uid="{70618884-FBB8-4D48-BD2C-4130642B5FE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8" authorId="0" shapeId="0" xr:uid="{1AACAB42-3CDD-4261-83CE-3CDEDCCE9E4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8" authorId="0" shapeId="0" xr:uid="{C3CE1AB0-2879-4883-BB73-3EC3D38F26E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8" authorId="0" shapeId="0" xr:uid="{61D15BF1-4DD3-469E-909A-69395D05705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8" authorId="0" shapeId="0" xr:uid="{5C824BBF-F480-419E-B175-493135C5B45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9" authorId="0" shapeId="0" xr:uid="{CC2048D8-CCD1-486B-BBFC-17E56973B77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9" authorId="0" shapeId="0" xr:uid="{349B8254-E8E3-4882-A7AA-469DF5629F4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9" authorId="0" shapeId="0" xr:uid="{FA1A99AB-DACC-4D2D-BBD1-4406BFAEF7B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9" authorId="0" shapeId="0" xr:uid="{10A94AA6-37EC-4213-B3DF-28768E7541C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9" authorId="0" shapeId="0" xr:uid="{BC97AB9D-AC6F-4620-B7A7-FD69DE9EE85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9" authorId="0" shapeId="0" xr:uid="{2FA7D8AC-63A7-46AA-9F4B-0477B96E193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9" authorId="0" shapeId="0" xr:uid="{34574A9C-B164-4139-B5E9-CFCF47B58EF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9" authorId="0" shapeId="0" xr:uid="{8CE743F4-9EFD-4830-8E22-A75932328FF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9" authorId="0" shapeId="0" xr:uid="{DB8BBA4C-0AE2-4928-9304-DBA04EB2BA5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9" authorId="0" shapeId="0" xr:uid="{1145EDAA-12CD-4508-90FC-D6AABCE9961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9" authorId="0" shapeId="0" xr:uid="{3A443083-ADCE-486A-A444-1DBD8912FA9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0" authorId="0" shapeId="0" xr:uid="{22403D51-F910-4F02-B3CC-5B0E37C4A3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0" authorId="0" shapeId="0" xr:uid="{8EF154BE-7F91-4362-AFA2-5349131761E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0" authorId="0" shapeId="0" xr:uid="{0C29F1EE-51D5-4D76-A362-159B1BF8D78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0" authorId="0" shapeId="0" xr:uid="{2936197C-F8B3-43EC-9A22-A85E373DA0A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0" authorId="0" shapeId="0" xr:uid="{7CA6227C-3A74-4383-BA1F-B3ABFC02FA0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0" authorId="0" shapeId="0" xr:uid="{EA79EB5D-3EB4-44A4-A4EC-D766C366B0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0" authorId="0" shapeId="0" xr:uid="{82B2F148-65A7-41F3-9A5C-B832158737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0" authorId="0" shapeId="0" xr:uid="{38070D6A-6C51-4118-AA97-6787BE9EFC2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0" authorId="0" shapeId="0" xr:uid="{FDC068CB-628C-4675-ACE4-FE440B43F10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0" authorId="0" shapeId="0" xr:uid="{96411450-5F19-448D-A625-5EF0356CD5B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0" authorId="0" shapeId="0" xr:uid="{D26BFC19-8276-49DE-BD30-4B8B85738EC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1" authorId="0" shapeId="0" xr:uid="{9AB6E589-D5D9-4EF5-A274-3557197A1F4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1" authorId="0" shapeId="0" xr:uid="{415153E1-6A94-446E-A20C-505936A61F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1" authorId="0" shapeId="0" xr:uid="{C05A84AC-D2BD-4B3A-A74F-39ABFF4B30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1" authorId="0" shapeId="0" xr:uid="{9536E43E-9C94-4583-B0D2-0A505A23978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1" authorId="0" shapeId="0" xr:uid="{99BC71F8-C5EE-41D4-843A-CF69071C04B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1" authorId="0" shapeId="0" xr:uid="{1D302812-D74E-40E9-9D66-6003B2E647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1" authorId="0" shapeId="0" xr:uid="{0C1555E9-98E4-45C4-8763-F3D0EBA3D27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1" authorId="0" shapeId="0" xr:uid="{AD507402-4C5C-4608-A840-82DE708E0E3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1" authorId="0" shapeId="0" xr:uid="{DB1C987F-57A5-41A2-9701-CCAAF5A853D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1" authorId="0" shapeId="0" xr:uid="{28B3B59B-8417-41AA-AAC5-AA5D68D2301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1" authorId="0" shapeId="0" xr:uid="{61CB216F-779C-4FAE-8C70-FAC8CCCC314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2" authorId="0" shapeId="0" xr:uid="{C5C7698D-FA2E-4B8F-9F4F-BB84F219E0F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2" authorId="0" shapeId="0" xr:uid="{D070745A-71C6-4BC6-9D84-A845BF68C18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2" authorId="0" shapeId="0" xr:uid="{5A3D361B-828C-4903-ABD8-0BF9F317E20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2" authorId="0" shapeId="0" xr:uid="{096E515B-507E-410D-A111-1AE1F2379BB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2" authorId="0" shapeId="0" xr:uid="{92653937-DAE2-4EFB-9A2F-4BEA81173E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2" authorId="0" shapeId="0" xr:uid="{A5AF19A5-2C9F-4BC6-9161-E3C90A0961A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2" authorId="0" shapeId="0" xr:uid="{0695CA8C-9873-480D-92F3-190686C777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2" authorId="0" shapeId="0" xr:uid="{C17D92BB-8AFF-401D-8FF2-F72C63FADE8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2" authorId="0" shapeId="0" xr:uid="{82FFF6C4-D938-43BF-8F57-3CC4DBC8061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2" authorId="0" shapeId="0" xr:uid="{4BD8C555-F929-4565-B749-C30059DC615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2" authorId="0" shapeId="0" xr:uid="{56C8BB20-2119-45ED-A462-3219CB33400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3" authorId="0" shapeId="0" xr:uid="{510DEF8E-C128-4AF9-A884-439E664A7A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3" authorId="0" shapeId="0" xr:uid="{ACBD2DDD-451A-4223-81C6-79CDF81B783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3" authorId="0" shapeId="0" xr:uid="{03AACC2F-3AD1-4276-9E23-F308929FF28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3" authorId="0" shapeId="0" xr:uid="{7B3FD1DA-1F6C-4FF1-A07B-31AD539502F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3" authorId="0" shapeId="0" xr:uid="{C9836CDF-D7CC-41C1-94C4-1F28EAAA23F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3" authorId="0" shapeId="0" xr:uid="{085CA5D0-53F4-4241-83BA-509819739EB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3" authorId="0" shapeId="0" xr:uid="{A3D7D892-79E5-439F-AA3A-7D1B71BDF75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3" authorId="0" shapeId="0" xr:uid="{59D4D6A2-1D22-4E25-9BFF-FC0790C24D7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3" authorId="0" shapeId="0" xr:uid="{89503B58-4D11-44AE-9DC8-64A9EC201BD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3" authorId="0" shapeId="0" xr:uid="{63128907-529F-4B0E-B7D3-60E293D93BB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3" authorId="0" shapeId="0" xr:uid="{0BEC2012-9FA2-44AC-913B-2084F8742BE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4" authorId="0" shapeId="0" xr:uid="{D9380171-26AA-4819-BE85-92B5A578EE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4" authorId="0" shapeId="0" xr:uid="{E0E5FE9F-B8C9-470E-B1D0-65D1E282B59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4" authorId="0" shapeId="0" xr:uid="{1CBD213D-7048-4BDA-9473-9A7F9FB04D1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4" authorId="0" shapeId="0" xr:uid="{4E0669F8-2730-45CA-9810-96FE10AF7A0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4" authorId="0" shapeId="0" xr:uid="{22EE0AB6-0FEB-4AA3-BD79-C5CF95A579E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4" authorId="0" shapeId="0" xr:uid="{39F486DB-8A1B-43A6-9C34-7DD67970CDF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4" authorId="0" shapeId="0" xr:uid="{956F0B9F-4207-446B-A310-DAC43BCF39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4" authorId="0" shapeId="0" xr:uid="{170B0A6F-5656-42B9-9331-0826D888C0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4" authorId="0" shapeId="0" xr:uid="{A7FABD13-5FAE-4FF9-967E-CB6BD68A09C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4" authorId="0" shapeId="0" xr:uid="{9A615D32-BA8C-4567-B30C-EE207D06CA2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4" authorId="0" shapeId="0" xr:uid="{65618666-E625-4783-85CB-1839D2B9288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5" authorId="0" shapeId="0" xr:uid="{F348111E-9948-4019-AEA2-9A4A332B78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5" authorId="0" shapeId="0" xr:uid="{021F574B-7CC4-4338-9D11-57ABAD8861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5" authorId="0" shapeId="0" xr:uid="{64B014D5-E9A0-46D3-8A32-70ACB489F8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5" authorId="0" shapeId="0" xr:uid="{9D591243-CD92-4E21-9DFC-7D3153A4FE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5" authorId="0" shapeId="0" xr:uid="{3742765E-703F-4159-ABEC-A05D2E85436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5" authorId="0" shapeId="0" xr:uid="{3AFA8354-A740-4662-AF5C-A090F3B6BAD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5" authorId="0" shapeId="0" xr:uid="{B3F7DB8C-78F0-471B-88AC-127FAEC76F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5" authorId="0" shapeId="0" xr:uid="{82E90FE2-ED80-4824-95CB-7375D70A30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5" authorId="0" shapeId="0" xr:uid="{A8058562-EA3B-47DF-8701-352A21D2CD4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5" authorId="0" shapeId="0" xr:uid="{3811882C-1574-437F-BDAB-556B43779C1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5" authorId="0" shapeId="0" xr:uid="{73303B3B-4B1D-4A0E-9C0E-8FB19BA6181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6" authorId="0" shapeId="0" xr:uid="{8AEA95E1-D915-4DC0-A9DF-3EB6CD2D20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6" authorId="0" shapeId="0" xr:uid="{1114FF17-FEE2-4E87-A6B4-9C002F2FBB9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6" authorId="0" shapeId="0" xr:uid="{65385303-53E7-4456-9F0D-3932F58B07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6" authorId="0" shapeId="0" xr:uid="{A054846C-0A14-433D-8A51-6FACB563A1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6" authorId="0" shapeId="0" xr:uid="{CB2EB83F-3940-48D5-A945-71404B76A35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6" authorId="0" shapeId="0" xr:uid="{B5EB70DE-F96E-4B78-B110-26BA4906465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6" authorId="0" shapeId="0" xr:uid="{F36F714E-1EBB-45AE-80D3-2CEAFDE38A9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6" authorId="0" shapeId="0" xr:uid="{74EEF0B2-347E-4ED0-B467-6EBBDC7FDDF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6" authorId="0" shapeId="0" xr:uid="{AFEBD527-C867-47B3-B0C0-AB1E5CFC678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6" authorId="0" shapeId="0" xr:uid="{4CAA771A-C591-458E-A4EB-BB301B5B31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6" authorId="0" shapeId="0" xr:uid="{34B57E94-A731-4FC5-ADF8-5F8DB660AED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7" authorId="0" shapeId="0" xr:uid="{6C33F0E4-C2A4-4ED7-ACF4-EED75F04AFF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7" authorId="0" shapeId="0" xr:uid="{CE007BC5-4097-46B9-843A-E89FD034ED0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7" authorId="0" shapeId="0" xr:uid="{06EB44E4-173D-4859-A5E8-33D9BE8A81B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7" authorId="0" shapeId="0" xr:uid="{A871E974-B647-40C6-87E9-8D7E8D89583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7" authorId="0" shapeId="0" xr:uid="{7C879132-57F8-46A1-92B7-6844BA7C563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7" authorId="0" shapeId="0" xr:uid="{864EAE4D-C2D7-4382-90B8-79B76588C17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7" authorId="0" shapeId="0" xr:uid="{ACED0291-4E56-4275-BA6F-207648A40CC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7" authorId="0" shapeId="0" xr:uid="{C57ADEFA-0C4E-4D34-8CAC-CE02A91D39C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7" authorId="0" shapeId="0" xr:uid="{B84490F6-BE50-4AAB-B969-2835FECE008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7" authorId="0" shapeId="0" xr:uid="{FEBC1497-5D76-4AC7-BC3D-911B3A799D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7" authorId="0" shapeId="0" xr:uid="{AED08100-ABAB-4F97-8FD5-259ADB525B6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8" authorId="0" shapeId="0" xr:uid="{E4B9C94B-E154-4059-B6EC-45532F08DB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8" authorId="0" shapeId="0" xr:uid="{E75DF206-341D-4F09-9395-39AFD76862B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8" authorId="0" shapeId="0" xr:uid="{CF3D3EF0-4E10-4A37-83D4-7C9D46A4BF1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8" authorId="0" shapeId="0" xr:uid="{6F42E800-B064-4A87-9E93-277DE76A1F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8" authorId="0" shapeId="0" xr:uid="{F9360B80-8B6D-427A-839B-BBE9C7A4C73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8" authorId="0" shapeId="0" xr:uid="{348C82A9-02FF-49AA-AC9C-598D384137F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8" authorId="0" shapeId="0" xr:uid="{E8E687FC-AA09-4216-ACBC-FB74288D202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8" authorId="0" shapeId="0" xr:uid="{DC18B7EE-8FE4-4E01-9341-62A952FED5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8" authorId="0" shapeId="0" xr:uid="{A272B6F0-3C5F-461F-A2F1-E79AB5FD241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8" authorId="0" shapeId="0" xr:uid="{5BF0FD06-63C9-4A61-8510-391BD8D6537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8" authorId="0" shapeId="0" xr:uid="{C2C0BF80-8BE5-48F2-AFA5-B2012F7B83A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9" authorId="0" shapeId="0" xr:uid="{8F57AE2C-47C0-4107-B9DB-C4E7CC25900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9" authorId="0" shapeId="0" xr:uid="{2536BCE4-AE17-435D-A62F-7CA1C12F291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9" authorId="0" shapeId="0" xr:uid="{46D303BC-5030-4325-9C11-380BFE5BBD6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9" authorId="0" shapeId="0" xr:uid="{44608CBC-C708-4507-9B0E-D1605902E5D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9" authorId="0" shapeId="0" xr:uid="{76999BBF-2C53-4860-8197-6D618141001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9" authorId="0" shapeId="0" xr:uid="{8F929C1B-56B6-4C87-BC28-7F44CCD39C3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9" authorId="0" shapeId="0" xr:uid="{8DD0EB6F-7CD1-45B7-8197-AEB41BBE349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9" authorId="0" shapeId="0" xr:uid="{C122B230-DCA1-4C2E-8F74-F5DC0B34807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9" authorId="0" shapeId="0" xr:uid="{AAD817F8-9102-439B-838A-4DF81F920E4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9" authorId="0" shapeId="0" xr:uid="{F7D1B17E-0725-4B97-81B9-94AAD281FA8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9" authorId="0" shapeId="0" xr:uid="{31CF1569-C67F-4A23-AE7F-515538CF683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0" authorId="0" shapeId="0" xr:uid="{DBDD258D-3C9C-4CC2-9337-13656B4041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0" authorId="0" shapeId="0" xr:uid="{250195B9-0E33-4B69-A79A-DEA0385C333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0" authorId="0" shapeId="0" xr:uid="{DAE282AE-C7C3-4BB1-855F-0FD96E6700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0" authorId="0" shapeId="0" xr:uid="{AF2D5E34-8DC8-4823-8B39-9E64E49AAB9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0" authorId="0" shapeId="0" xr:uid="{06B86369-5F5A-4971-B6A6-D6AD052BA92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0" authorId="0" shapeId="0" xr:uid="{219B47E2-E353-49ED-AA02-6C20AB9F4B1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0" authorId="0" shapeId="0" xr:uid="{2C3642E0-8449-4C0A-8684-5EB987895E8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0" authorId="0" shapeId="0" xr:uid="{D59C479A-FC71-4C10-A722-0CD92E1E1A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0" authorId="0" shapeId="0" xr:uid="{9777A9F0-70B3-44C2-B6E0-778375FF95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0" authorId="0" shapeId="0" xr:uid="{9CF48C8C-1164-4F25-A199-C1E55B6E7E7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0" authorId="0" shapeId="0" xr:uid="{62564E79-B0D3-490E-A243-358D657A76C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1" authorId="0" shapeId="0" xr:uid="{C310B5F6-F83E-489C-AD69-7B80BDCE36B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1" authorId="0" shapeId="0" xr:uid="{9413B18B-F3F0-41D1-AD91-87CF45FC1B7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1" authorId="0" shapeId="0" xr:uid="{BB99386D-72C3-41AE-8337-4D61E12287D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1" authorId="0" shapeId="0" xr:uid="{B10043C9-8D83-4229-B33C-084305C78F0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1" authorId="0" shapeId="0" xr:uid="{D5D56860-1311-488E-96BC-DB4679DF94C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1" authorId="0" shapeId="0" xr:uid="{30306EBE-C3C1-4B86-8215-DCB9B4784AD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1" authorId="0" shapeId="0" xr:uid="{C292E303-730C-4457-852E-195F9821875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1" authorId="0" shapeId="0" xr:uid="{11E37AAE-09F3-47E3-BE40-0285D46E5E5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1" authorId="0" shapeId="0" xr:uid="{29B38996-1756-43FC-B3FF-F1DC78A69AA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1" authorId="0" shapeId="0" xr:uid="{4EAF91E3-D738-473D-885D-27B0908C866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1" authorId="0" shapeId="0" xr:uid="{1EA08851-2AB3-4B9E-B955-BA849E4218C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2" authorId="0" shapeId="0" xr:uid="{89CD15AD-3B24-4084-B0E8-A13768B6BA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2" authorId="0" shapeId="0" xr:uid="{A408A7C2-C787-41F6-A1F4-B510FE49883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2" authorId="0" shapeId="0" xr:uid="{A856BB6C-C174-486D-AB69-B17931E7E96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2" authorId="0" shapeId="0" xr:uid="{6F998A8F-303A-4FE9-AA0C-0C36C5015A5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2" authorId="0" shapeId="0" xr:uid="{958EAE78-A37E-4A8C-A171-7E4308C00B7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2" authorId="0" shapeId="0" xr:uid="{24B9BF02-C07C-4B2A-9A58-1506A9EF8EC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2" authorId="0" shapeId="0" xr:uid="{F02DC1DE-1037-4D3B-9AE1-C04BC79CFEF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2" authorId="0" shapeId="0" xr:uid="{B56B4898-7EC5-4645-B934-32981BFDF0E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2" authorId="0" shapeId="0" xr:uid="{091A4698-387B-460D-87E2-C1B3F9995FF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2" authorId="0" shapeId="0" xr:uid="{51450DF6-F94F-4A4A-A4E6-7D3C14A3767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2" authorId="0" shapeId="0" xr:uid="{614F972C-E16E-43F2-8478-ABF1182CFF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3" authorId="0" shapeId="0" xr:uid="{0D5E1E4F-8E82-454C-A3E9-6DA260E2616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3" authorId="0" shapeId="0" xr:uid="{5C598CB6-29E1-43EC-8D0E-5D3303EC8BD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3" authorId="0" shapeId="0" xr:uid="{D7935FE1-198B-4CA9-8DB2-CC3563169EE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3" authorId="0" shapeId="0" xr:uid="{5E85A4CC-43BB-43ED-BFF4-40ED7939B55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3" authorId="0" shapeId="0" xr:uid="{37CDD122-B5C3-4025-BA83-6921AC1ADE8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3" authorId="0" shapeId="0" xr:uid="{1A40722C-0AA9-4C32-AFF9-27688AB1660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3" authorId="0" shapeId="0" xr:uid="{57D2B73F-0F93-4D57-9C66-9438CC8CAED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3" authorId="0" shapeId="0" xr:uid="{744021CB-646D-4192-95F5-A53369ADBF1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3" authorId="0" shapeId="0" xr:uid="{BF3A19AC-6286-46FE-8CA4-1BB4838BB0C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3" authorId="0" shapeId="0" xr:uid="{30F72067-5066-4275-9DCC-51DE25E3C99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3" authorId="0" shapeId="0" xr:uid="{6AEE1180-2105-4375-B48B-747B03E1DE1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4" authorId="0" shapeId="0" xr:uid="{87917B80-110E-44EC-A830-C7F019210B6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4" authorId="0" shapeId="0" xr:uid="{AE6ED998-0E72-4527-925B-31813DCB8B8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4" authorId="0" shapeId="0" xr:uid="{50C31B84-B2E2-448E-960D-67F9B70855A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4" authorId="0" shapeId="0" xr:uid="{E56E95AF-BC1D-4F3B-B35D-B215CC5476A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4" authorId="0" shapeId="0" xr:uid="{447AC427-BFE9-4226-9BF0-EC2D02154EE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4" authorId="0" shapeId="0" xr:uid="{041E3500-83AE-4592-821B-E31CEEA908F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4" authorId="0" shapeId="0" xr:uid="{7B7E15D4-411E-4235-90C2-7372217ADB8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4" authorId="0" shapeId="0" xr:uid="{932ED86D-5961-4D56-A53F-D7DCF47D282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4" authorId="0" shapeId="0" xr:uid="{61AD793A-9060-41F3-9E6A-EF8BE699906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4" authorId="0" shapeId="0" xr:uid="{49ECD16D-F918-4BBE-8974-E2622890E17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4" authorId="0" shapeId="0" xr:uid="{EE43FA68-3020-4C03-B224-65ABD4BFB4B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7" authorId="0" shapeId="0" xr:uid="{83A40DEC-59F8-4457-AB13-F4878F01E27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7" authorId="0" shapeId="0" xr:uid="{96C70498-C5E3-442D-AE09-46964E38B39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7" authorId="0" shapeId="0" xr:uid="{89FB7EB3-A347-4E2A-A816-746DE95B283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7" authorId="0" shapeId="0" xr:uid="{4CC2A35D-BEC5-42E8-8753-CB8B9AF1EFF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7" authorId="0" shapeId="0" xr:uid="{877CB7E5-E95C-462C-B647-FBB1622B643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7" authorId="0" shapeId="0" xr:uid="{87D219D9-8644-48A2-A281-18277DACDB3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7" authorId="0" shapeId="0" xr:uid="{4AF35BC5-2533-43C9-9E5F-A57FBDB5EFA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7" authorId="0" shapeId="0" xr:uid="{22F18831-3644-453E-9E6C-CCD2BA60A5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7" authorId="0" shapeId="0" xr:uid="{CE868E75-63BE-446F-99D4-11AFAB08127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7" authorId="0" shapeId="0" xr:uid="{15EFF5DD-C525-4033-9314-222287B4A22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7" authorId="0" shapeId="0" xr:uid="{7E636755-9476-41CD-87AA-F2EDC0F1E1B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8" authorId="0" shapeId="0" xr:uid="{21AFD3FC-2D8E-46C6-A89A-2C385824C2A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8" authorId="0" shapeId="0" xr:uid="{B8BE08F0-F973-47CF-AE23-F4C2639A8E1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8" authorId="0" shapeId="0" xr:uid="{9C7C228C-4055-4911-8B99-AF1C1FF403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8" authorId="0" shapeId="0" xr:uid="{FC88D659-0030-437F-9B05-E67AE3BE2E4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8" authorId="0" shapeId="0" xr:uid="{333F389E-9F64-4262-882B-A164D544A29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8" authorId="0" shapeId="0" xr:uid="{BDB341E5-78AF-47BD-B253-9CEBD7C47B4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8" authorId="0" shapeId="0" xr:uid="{688C0116-F2F9-44B2-8AFC-D1A4781B039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8" authorId="0" shapeId="0" xr:uid="{75E17F0E-84C4-4BFE-8574-63980882418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8" authorId="0" shapeId="0" xr:uid="{61BF4093-835E-4554-B9F6-86598B3EC32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8" authorId="0" shapeId="0" xr:uid="{7117E6CD-6B03-4229-8FF8-2B85150B9E9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8" authorId="0" shapeId="0" xr:uid="{DFD6EC35-472C-40CF-8821-454403734DE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9" authorId="0" shapeId="0" xr:uid="{4549749B-2663-4C37-8EFA-530A325DF0C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9" authorId="0" shapeId="0" xr:uid="{9D376EC6-1CC4-4D9B-907E-379CE934C9B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9" authorId="0" shapeId="0" xr:uid="{4B080A6D-AE90-4C68-86F4-7DF307F6CF7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9" authorId="0" shapeId="0" xr:uid="{11929594-B17E-4246-965E-FE2B13235E3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9" authorId="0" shapeId="0" xr:uid="{86341EA5-BFF4-4AA7-AF04-8A793659A3A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9" authorId="0" shapeId="0" xr:uid="{FD17249E-1F61-4651-9BB6-031D17817D3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9" authorId="0" shapeId="0" xr:uid="{53AEC774-3254-43B8-A91E-2C3BB0E0397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9" authorId="0" shapeId="0" xr:uid="{421F6E0B-A842-4F20-9894-185955DDF27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9" authorId="0" shapeId="0" xr:uid="{ACF2EEAE-05C1-4AE4-97A6-CFE325CE237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9" authorId="0" shapeId="0" xr:uid="{578A51FB-5C62-4F91-92F1-60090AB303D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9" authorId="0" shapeId="0" xr:uid="{565A59FB-3902-48B2-8908-D1A78606DDE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0" authorId="0" shapeId="0" xr:uid="{8C1FF295-3C86-4054-B3FA-79DCB7586B1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0" authorId="0" shapeId="0" xr:uid="{D88ED9E2-8995-456A-A023-A37D05E49D0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0" authorId="0" shapeId="0" xr:uid="{F92E3191-556E-4DC2-9F90-4E323FC290D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0" authorId="0" shapeId="0" xr:uid="{002BAEC4-B908-4567-93FD-34EAAF36D2C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0" authorId="0" shapeId="0" xr:uid="{CD725ED9-2BCF-4253-9641-23C1242DDFA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0" authorId="0" shapeId="0" xr:uid="{4B0AFD97-5071-4E48-9883-08861F1604E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0" authorId="0" shapeId="0" xr:uid="{B35F4B1E-DD84-46DC-8A11-081E988EE9C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0" authorId="0" shapeId="0" xr:uid="{4D56A92C-03F8-4DFD-BC6F-1B3CD1C0BE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0" authorId="0" shapeId="0" xr:uid="{B64307B6-D536-4CA4-9FAC-B21645D8565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0" authorId="0" shapeId="0" xr:uid="{0AA65582-54DD-462A-B42F-B2C4435A365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0" authorId="0" shapeId="0" xr:uid="{E92C3286-E2DF-4B4B-8CA3-915474B628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1" authorId="0" shapeId="0" xr:uid="{0D41C6C9-330A-4EE8-9472-70DB95DB657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1" authorId="0" shapeId="0" xr:uid="{1086E1F1-147B-48E3-B971-15A85DB0B3E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1" authorId="0" shapeId="0" xr:uid="{BED85A60-F08B-48E7-8B1F-457FC326700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1" authorId="0" shapeId="0" xr:uid="{8B53B1C9-19CD-4366-8194-5CE57E48670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1" authorId="0" shapeId="0" xr:uid="{C16BB057-E236-4CA8-9358-729AA3BE559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1" authorId="0" shapeId="0" xr:uid="{006285BC-61EC-430D-B8C2-D87A43279CD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1" authorId="0" shapeId="0" xr:uid="{4A4869EE-91B5-4E3B-BC9B-CB6A6961A48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1" authorId="0" shapeId="0" xr:uid="{FBCF511D-26ED-458A-8EF8-F3DC574857E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1" authorId="0" shapeId="0" xr:uid="{F549FC6C-6CF7-48FB-B903-057060DE79B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1" authorId="0" shapeId="0" xr:uid="{73B23ECE-038C-4CBA-A1D1-BA3CE45DBDE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1" authorId="0" shapeId="0" xr:uid="{3886B6F9-F398-47AD-AF34-B23CEE21092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2" authorId="0" shapeId="0" xr:uid="{C4D56CC7-C3B0-4F33-A858-190E8A38E29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2" authorId="0" shapeId="0" xr:uid="{F75ED940-A462-47A4-86A2-D77ED44770A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2" authorId="0" shapeId="0" xr:uid="{908F4620-283D-4379-9756-98A3EDA7F77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2" authorId="0" shapeId="0" xr:uid="{59A2AE0D-A2CC-4B6E-9409-F56C284C41E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2" authorId="0" shapeId="0" xr:uid="{D2F0E5BA-9661-4A36-A3AA-D2DFB526C14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2" authorId="0" shapeId="0" xr:uid="{D3108385-8C8B-4C2F-8A1B-136853BBA40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2" authorId="0" shapeId="0" xr:uid="{55A59079-51C6-463D-9752-B14C3D9F876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2" authorId="0" shapeId="0" xr:uid="{42E66364-CEBF-4472-B793-D43BA083B47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2" authorId="0" shapeId="0" xr:uid="{88074F35-9A24-43B7-BD0E-0CC6152A693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2" authorId="0" shapeId="0" xr:uid="{DC5BC605-3670-47EF-8AB7-9781444EB75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2" authorId="0" shapeId="0" xr:uid="{521A8D83-58CF-4A97-A613-A8BEA8BDD7A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3" authorId="0" shapeId="0" xr:uid="{8C1C1B9F-5A94-420F-9EEF-4ADBF5F166E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3" authorId="0" shapeId="0" xr:uid="{045CD455-E902-4F8F-89B8-AC200B71A8B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3" authorId="0" shapeId="0" xr:uid="{368EF675-3282-4DAA-87E0-78339D18B70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3" authorId="0" shapeId="0" xr:uid="{5F9BDFBC-812E-476B-B0B2-B20736EBEEF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3" authorId="0" shapeId="0" xr:uid="{1EA2E445-A86D-445A-9EE9-83FA63F88F8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3" authorId="0" shapeId="0" xr:uid="{DE47D764-05D1-4BD8-9416-44788140B69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3" authorId="0" shapeId="0" xr:uid="{73195BAA-482F-40AB-AB0E-F3316B5882A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3" authorId="0" shapeId="0" xr:uid="{E98A15BA-5BE5-4967-9DB4-7A95C616F7E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3" authorId="0" shapeId="0" xr:uid="{E6DBE921-6406-4352-9CC2-5FAFF0079E4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3" authorId="0" shapeId="0" xr:uid="{4E3FEB9D-A355-4CFB-B407-07469F4010F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3" authorId="0" shapeId="0" xr:uid="{AFAC52B8-75A7-40B3-A70B-3557235C9F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4" authorId="0" shapeId="0" xr:uid="{329179EC-6FA0-4034-8BEF-DD08CC90E0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4" authorId="0" shapeId="0" xr:uid="{869B391E-3E5B-41C0-972E-6B06CD68049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4" authorId="0" shapeId="0" xr:uid="{CE18A342-8493-4C61-A783-E831076C7C9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4" authorId="0" shapeId="0" xr:uid="{0DCF14D0-4E60-40BC-BFD5-21089366DAF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4" authorId="0" shapeId="0" xr:uid="{168D2A8A-7790-4E80-9F63-78C25665999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4" authorId="0" shapeId="0" xr:uid="{C0618EC4-8044-4D31-8675-3FB75B2050A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4" authorId="0" shapeId="0" xr:uid="{587FCF28-175F-454C-A20E-6FE0E9700BD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4" authorId="0" shapeId="0" xr:uid="{51AD0EC2-B29F-442D-9E29-4A89A788EE8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4" authorId="0" shapeId="0" xr:uid="{A5D5B79A-DE91-4AFF-8055-CE6B0431AAA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4" authorId="0" shapeId="0" xr:uid="{6AAD1D41-E1FA-4F70-8BF0-386A6B9CF67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4" authorId="0" shapeId="0" xr:uid="{7FA52FA2-12BD-46F6-A0BC-DCA91F326A5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5" authorId="0" shapeId="0" xr:uid="{BB9E603B-2FA7-4882-A133-9FB7A360FF6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5" authorId="0" shapeId="0" xr:uid="{78DEDF53-AE06-453A-A358-DC7F96F3DE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5" authorId="0" shapeId="0" xr:uid="{8D82CAD7-BD04-42F4-8780-C4B2B97CF47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5" authorId="0" shapeId="0" xr:uid="{30A9B5FC-12FA-46DE-9001-A5C9A6863BE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5" authorId="0" shapeId="0" xr:uid="{EA0DAF91-4F89-4987-9649-AA46CA0F73A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5" authorId="0" shapeId="0" xr:uid="{A9CA5495-9FB9-47F4-9B2C-681EDBDB228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5" authorId="0" shapeId="0" xr:uid="{B744B7B0-52B8-40E9-A30C-1F2D3E7ACAA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5" authorId="0" shapeId="0" xr:uid="{9F1CB6C4-3C3D-4CB9-90E4-67898A81572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5" authorId="0" shapeId="0" xr:uid="{FB74D463-5756-4143-8780-DC406C39F62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5" authorId="0" shapeId="0" xr:uid="{5533403E-2D7E-48E3-8F05-CDACAE17C8D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5" authorId="0" shapeId="0" xr:uid="{4BE02657-7499-4963-979A-2A2BF2F5060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6" authorId="0" shapeId="0" xr:uid="{8AFD12AA-5090-4463-B14B-55E69417917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6" authorId="0" shapeId="0" xr:uid="{97302531-3B17-4FE0-86FC-8294DD761EE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6" authorId="0" shapeId="0" xr:uid="{550BE345-0CA5-4B23-9774-C3C676B5D0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6" authorId="0" shapeId="0" xr:uid="{9007777D-F41D-4289-A34B-FD72FE8AB71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6" authorId="0" shapeId="0" xr:uid="{414C2E4F-F060-45D6-9EC9-03EDA265565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6" authorId="0" shapeId="0" xr:uid="{0224FE3B-AF20-44D0-961D-EF48FBF8915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6" authorId="0" shapeId="0" xr:uid="{D32303FB-F929-499B-AD3F-84DC2115F12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6" authorId="0" shapeId="0" xr:uid="{CF7B83F1-6D7E-4A5E-9CCB-719624F99F6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6" authorId="0" shapeId="0" xr:uid="{0885C7DD-013F-43C5-806B-B987F6EE761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6" authorId="0" shapeId="0" xr:uid="{F82DF811-DDF8-4351-A185-02E456A8C09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6" authorId="0" shapeId="0" xr:uid="{2D65F815-CAF1-42EC-8A0B-DCF5C22E0AB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7" authorId="0" shapeId="0" xr:uid="{03104BBC-E0D5-4F4B-BA76-A852712B724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7" authorId="0" shapeId="0" xr:uid="{8A91DDE5-BEC7-483E-A033-779FE9A92CF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7" authorId="0" shapeId="0" xr:uid="{9DD6FE8D-7D26-4637-98C8-DFB621B1BE3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7" authorId="0" shapeId="0" xr:uid="{BF4D6822-E854-4EC4-877E-CCE4450A67E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7" authorId="0" shapeId="0" xr:uid="{845E22AF-0550-4995-BE41-B9AEC40BE6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7" authorId="0" shapeId="0" xr:uid="{A6E3EDA9-73D3-484D-B601-142DBBE4AF7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7" authorId="0" shapeId="0" xr:uid="{C6C1675C-29E8-4D87-9A8E-C220E35A6C1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7" authorId="0" shapeId="0" xr:uid="{8EC4D268-2449-45D2-BFD5-397EF7A240D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7" authorId="0" shapeId="0" xr:uid="{6C8E9E55-05CA-4B01-8359-D8E8A30F02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7" authorId="0" shapeId="0" xr:uid="{21F3932A-2AEA-4A54-9A7E-46D7C68F43E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7" authorId="0" shapeId="0" xr:uid="{179851A5-D4C7-4650-920B-2CC17D6182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8" authorId="0" shapeId="0" xr:uid="{A5591E6D-BD6B-461A-9CAD-8F9AC1A1F9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8" authorId="0" shapeId="0" xr:uid="{C2D43B5A-FA4C-4735-88C1-5C29359C59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8" authorId="0" shapeId="0" xr:uid="{0199125C-C74F-49DA-9C5C-D22944B80AD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8" authorId="0" shapeId="0" xr:uid="{3B0B6620-B72B-4F25-B5AD-0CC018F7D15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8" authorId="0" shapeId="0" xr:uid="{C120D198-52A8-4E9F-9125-F15BB14F217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8" authorId="0" shapeId="0" xr:uid="{9C99344D-BE61-4F0B-82CB-AA934577192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8" authorId="0" shapeId="0" xr:uid="{36AE1D28-A366-476C-964E-2AB0801269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8" authorId="0" shapeId="0" xr:uid="{18019F42-D3C4-4EF5-AEB4-F7C4863CE7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8" authorId="0" shapeId="0" xr:uid="{2FC149AA-7EFE-4BB5-990D-A9DE9663F93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8" authorId="0" shapeId="0" xr:uid="{29D0B797-65E4-4F6D-AFEF-577AAEB9BC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8" authorId="0" shapeId="0" xr:uid="{13E14C2A-243A-498A-9D5D-6DB84718501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9" authorId="0" shapeId="0" xr:uid="{3A00F8A1-0B6D-46F0-8F11-920E7B2C481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9" authorId="0" shapeId="0" xr:uid="{3F16F507-3FBD-4FAC-9A65-F00A5E11669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9" authorId="0" shapeId="0" xr:uid="{A5E4490F-E019-44B6-8BD7-C6468FB8CC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9" authorId="0" shapeId="0" xr:uid="{34762DE7-0511-4859-AEF0-F8E833200D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9" authorId="0" shapeId="0" xr:uid="{02D85345-0FD1-489D-838B-57EB321845D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9" authorId="0" shapeId="0" xr:uid="{71B23F8F-0CFE-469A-A428-2BC8C21EF0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9" authorId="0" shapeId="0" xr:uid="{254A491D-2AEC-43B9-A3CA-6BDA1FB65D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9" authorId="0" shapeId="0" xr:uid="{B63DD9F8-D74F-468B-900F-CE77847EFD5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9" authorId="0" shapeId="0" xr:uid="{1A405D53-896E-4F51-AC0A-4416A79279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9" authorId="0" shapeId="0" xr:uid="{017EFC67-41A4-41C5-976B-1EAE12284B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9" authorId="0" shapeId="0" xr:uid="{E35B8BF2-3FFF-47CF-B31B-6F141C98FEF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0" authorId="0" shapeId="0" xr:uid="{5FFC6EB5-70F3-455A-A074-71F4A94A37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0" authorId="0" shapeId="0" xr:uid="{623C1B5A-D27B-44A8-9B60-984160B519F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0" authorId="0" shapeId="0" xr:uid="{F92D351C-6D03-4967-A05E-9DDA9922F00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0" authorId="0" shapeId="0" xr:uid="{838B8D77-0B9A-483F-819C-506C30954D5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0" authorId="0" shapeId="0" xr:uid="{B15A3762-DBC7-4825-8F61-65F8C13D20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0" authorId="0" shapeId="0" xr:uid="{CD882096-30A9-4FEF-A1B0-A41D125EE52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0" authorId="0" shapeId="0" xr:uid="{56FDEE33-E0D9-43B8-8B33-48B54244C75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0" authorId="0" shapeId="0" xr:uid="{BD4872D4-7902-4C0F-9939-87C948E314D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0" authorId="0" shapeId="0" xr:uid="{C6501F3D-7EB7-462D-BE7C-A8F9EDE3006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0" authorId="0" shapeId="0" xr:uid="{30CCD911-5DAE-4C4F-8125-D3F2325A729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0" authorId="0" shapeId="0" xr:uid="{C5152404-CF43-4DA5-9E7D-08FE2764FF9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1" authorId="0" shapeId="0" xr:uid="{66914346-49FF-4962-AD15-8AB64975EF2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1" authorId="0" shapeId="0" xr:uid="{01D6E10A-A0C6-4A6C-8163-D7D344C46B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1" authorId="0" shapeId="0" xr:uid="{A06CF689-392C-490E-AD68-0B612616453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1" authorId="0" shapeId="0" xr:uid="{20A615C3-5011-45A3-A8BE-9F0FAD3FAC0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1" authorId="0" shapeId="0" xr:uid="{49EAC0D3-810B-438A-87D5-1DEE527D5FE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1" authorId="0" shapeId="0" xr:uid="{51DE8285-EEA7-4CB9-8236-5CBBFB78EA4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1" authorId="0" shapeId="0" xr:uid="{E0BA9B89-55A4-4B90-AC11-32E27A435C2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1" authorId="0" shapeId="0" xr:uid="{08650C64-E4E9-48D0-A2E3-5DA22F13349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1" authorId="0" shapeId="0" xr:uid="{B3C0B61D-FC57-49BC-B7FF-DCAC5209C26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1" authorId="0" shapeId="0" xr:uid="{3C5A69C4-25F3-4CD1-BE34-454E09164F8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1" authorId="0" shapeId="0" xr:uid="{83038145-D579-4DAD-BA21-F8C0C18905C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2" authorId="0" shapeId="0" xr:uid="{64E87808-4076-4CC4-BAF3-C93F9DE137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2" authorId="0" shapeId="0" xr:uid="{833E572F-F5EF-496C-82F4-8480BCB257D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2" authorId="0" shapeId="0" xr:uid="{1CD26FFD-0416-43E4-938F-1707F132D8D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2" authorId="0" shapeId="0" xr:uid="{4B728E73-339D-4A38-9C9E-B9D4F4CD913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2" authorId="0" shapeId="0" xr:uid="{DD594542-5151-453E-A598-06F2895BE35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2" authorId="0" shapeId="0" xr:uid="{84985358-4C82-436D-957D-1946D4F66A2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2" authorId="0" shapeId="0" xr:uid="{8B6F17A1-19B3-4177-AFE6-0010CDBD013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2" authorId="0" shapeId="0" xr:uid="{3507A497-2A4B-45B6-8156-0D25DB7B2AE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2" authorId="0" shapeId="0" xr:uid="{F3534B9C-DEED-499A-840E-90A585379DE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2" authorId="0" shapeId="0" xr:uid="{D8FF4996-7EF3-4844-A8B5-EA301512367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2" authorId="0" shapeId="0" xr:uid="{D7A7B371-5CB7-43B8-8C59-DB13AA3BDC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3" authorId="0" shapeId="0" xr:uid="{6764612C-AF8E-41A7-AA72-5549F7250EF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3" authorId="0" shapeId="0" xr:uid="{F9DB69FE-DFCA-4025-928F-BB111A4C3F2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3" authorId="0" shapeId="0" xr:uid="{5FBBD121-4853-4FCD-90F9-7A1ACF675FD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3" authorId="0" shapeId="0" xr:uid="{DF986154-B419-4ABD-9632-631E0DE4236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3" authorId="0" shapeId="0" xr:uid="{A99372DE-D759-4035-A4E3-A404DDA6793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3" authorId="0" shapeId="0" xr:uid="{B3041605-66F3-445F-8496-415F1F60FC3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3" authorId="0" shapeId="0" xr:uid="{AD9E1D0A-6172-4059-ADE3-29D0F305B6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3" authorId="0" shapeId="0" xr:uid="{D9F7D879-3246-4E7B-A26A-096C60ECF8C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3" authorId="0" shapeId="0" xr:uid="{2B2576E8-AC85-47D0-B1B7-62667DD17DD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3" authorId="0" shapeId="0" xr:uid="{1C6DC648-7212-4B9C-B5C2-A60958D1F58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3" authorId="0" shapeId="0" xr:uid="{410C9B15-05EE-41DB-A4DC-6E532A5313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4" authorId="0" shapeId="0" xr:uid="{F9000383-B37C-43FB-B54A-36DC74B5FD2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4" authorId="0" shapeId="0" xr:uid="{919686B2-4C41-4430-8A91-BE475A06BB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4" authorId="0" shapeId="0" xr:uid="{51CF5D24-6BD8-490B-A17E-7238954D73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4" authorId="0" shapeId="0" xr:uid="{FEA4F50C-D0E5-4100-9558-26FD6AF448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4" authorId="0" shapeId="0" xr:uid="{E0440DB5-A501-4A1C-B3DF-C556CA1E43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4" authorId="0" shapeId="0" xr:uid="{DE77EEC4-C0D6-4CE3-A07B-B75D68DACA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4" authorId="0" shapeId="0" xr:uid="{BB398051-2D4F-4191-A7F8-FA38764AA33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4" authorId="0" shapeId="0" xr:uid="{BA40AC10-835B-4D58-9705-8F1DE9E919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4" authorId="0" shapeId="0" xr:uid="{D3C778FF-C8BC-4654-9849-7184E168500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4" authorId="0" shapeId="0" xr:uid="{DC920514-BC59-4842-87B1-F91D9081BD7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4" authorId="0" shapeId="0" xr:uid="{C10F789F-0458-44DC-B0B0-CBE600C1DFF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5" authorId="0" shapeId="0" xr:uid="{1E9C2013-8D5F-4147-BA17-BE9F9552695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5" authorId="0" shapeId="0" xr:uid="{4A66988C-EE2F-4859-9378-8C13F0C6288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5" authorId="0" shapeId="0" xr:uid="{94761F25-F5ED-435B-84B0-3D29D89243D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5" authorId="0" shapeId="0" xr:uid="{AFB49115-3577-4265-B890-0FDF3C057CE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5" authorId="0" shapeId="0" xr:uid="{EDEA4D42-A4D1-4392-8075-21AECBDDBF0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5" authorId="0" shapeId="0" xr:uid="{4F6D04A5-676B-4363-A99B-796630C69A0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5" authorId="0" shapeId="0" xr:uid="{59270B39-B1BF-4C6E-9CE3-32B20088979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5" authorId="0" shapeId="0" xr:uid="{DC8C18FA-1C65-472E-B6C4-499F44B3F06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5" authorId="0" shapeId="0" xr:uid="{005C698E-BEB4-4577-94FB-B8201D2D20E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5" authorId="0" shapeId="0" xr:uid="{5FEA42B6-ADBF-441B-8A42-2F38954FE86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5" authorId="0" shapeId="0" xr:uid="{0F404DA0-2D14-4E38-8A26-F28FFCE2BA7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6" authorId="0" shapeId="0" xr:uid="{B9A26AE9-B407-47E3-AF18-5FE6A078ED4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6" authorId="0" shapeId="0" xr:uid="{4AA72EC5-56BD-4154-B340-AB699B44FB2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6" authorId="0" shapeId="0" xr:uid="{9F5B9001-7B78-40D4-889A-2068F1C35B3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6" authorId="0" shapeId="0" xr:uid="{2A124CCF-345E-4EAC-81F5-6BB2EEED11E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6" authorId="0" shapeId="0" xr:uid="{452094E5-132C-4B69-BCA3-55BE017CB4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6" authorId="0" shapeId="0" xr:uid="{587215C3-3484-4FB5-AEAE-7CFFA840EB6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6" authorId="0" shapeId="0" xr:uid="{FF2F8ACB-8414-496B-BF87-10A8E282627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6" authorId="0" shapeId="0" xr:uid="{C265C0BE-6CA0-4D38-91B3-B193FDE5BC4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6" authorId="0" shapeId="0" xr:uid="{91886206-CFE6-498B-9A55-30767847346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6" authorId="0" shapeId="0" xr:uid="{16595A67-547F-4A87-842F-E4DC4B78F51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6" authorId="0" shapeId="0" xr:uid="{4B3C72EE-24B3-467A-9889-262021861F1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7" authorId="0" shapeId="0" xr:uid="{D9B63DDC-EE20-4726-ACB7-F16F0D5B16C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7" authorId="0" shapeId="0" xr:uid="{BDD47960-DB17-4056-B4D0-EF49DEEBC1B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7" authorId="0" shapeId="0" xr:uid="{B206CE3A-8D95-4F6A-89C4-2568EC1EF8D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7" authorId="0" shapeId="0" xr:uid="{9ECCE811-40AD-4A2F-A9BA-74F4D8D96E9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7" authorId="0" shapeId="0" xr:uid="{96C81D50-A5B3-4E02-8573-4B0773B7D4D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7" authorId="0" shapeId="0" xr:uid="{1F9CA652-E698-4A43-95AA-0113572B344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7" authorId="0" shapeId="0" xr:uid="{491CE35F-8A6B-4291-8FE4-F319CEFFD8E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7" authorId="0" shapeId="0" xr:uid="{E1B09A04-B64F-4810-9BC0-9AED0019DBF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7" authorId="0" shapeId="0" xr:uid="{A44C40D5-E9DD-44A6-B0C3-40DBDCFC065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7" authorId="0" shapeId="0" xr:uid="{4C22E828-AFDB-4B5B-A385-10101410E97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7" authorId="0" shapeId="0" xr:uid="{15A6F975-56F5-4841-95EE-C57B1064B85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</commentList>
</comments>
</file>

<file path=xl/comments9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ABHI RAM SAI</author>
  </authors>
  <commentList>
    <comment ref="B5" authorId="0" shapeId="0" xr:uid="{B6CC7060-9CF3-44A0-A1B8-F5725A79D1C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" authorId="0" shapeId="0" xr:uid="{59582A17-1033-462D-BEFA-ECB0E4C4428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" authorId="0" shapeId="0" xr:uid="{77FA7851-C22F-4059-9B0E-06A21FDF718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" authorId="0" shapeId="0" xr:uid="{A7BFE830-60E3-4E64-85DB-DD1A7459176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" authorId="0" shapeId="0" xr:uid="{8DF8A88D-D4DC-4CB0-9A0B-13403219AE2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" authorId="0" shapeId="0" xr:uid="{F5F68189-3E21-4B29-ADAE-B02BA1525A5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" authorId="0" shapeId="0" xr:uid="{A811A563-A74E-45B9-9EAE-D0381F5DDD6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" authorId="0" shapeId="0" xr:uid="{A148F10B-72F8-4DF7-A0D1-E9C94091DF1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" authorId="0" shapeId="0" xr:uid="{C3A490FB-573F-4D6E-B050-E95D348062D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" authorId="0" shapeId="0" xr:uid="{212D7C3C-0EF2-4EEE-B185-B5415B1D448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" authorId="0" shapeId="0" xr:uid="{988344AB-59C4-49FB-9014-B0C6F57C798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" authorId="0" shapeId="0" xr:uid="{B65CC0F5-F59C-4330-9ACA-211D028AA34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" authorId="0" shapeId="0" xr:uid="{468AB352-C975-45C7-8EE1-EF817B690A5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" authorId="0" shapeId="0" xr:uid="{B3122B31-4501-4465-A0E8-0B17FC3BCAE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" authorId="0" shapeId="0" xr:uid="{A4BE1930-9594-4547-A76F-40E7DB5CBE2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" authorId="0" shapeId="0" xr:uid="{83E31E8C-CAF6-47B7-B688-B11AC3EBBD1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" authorId="0" shapeId="0" xr:uid="{907354CD-F023-43FA-9FC0-9AC42DE6522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" authorId="0" shapeId="0" xr:uid="{88E2B44F-B103-4186-86CF-00830B1D2A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" authorId="0" shapeId="0" xr:uid="{139FA7E6-135C-4CF6-929F-30A0EAAFB0F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" authorId="0" shapeId="0" xr:uid="{5B066858-71C8-4409-9A34-D56EE31585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" authorId="0" shapeId="0" xr:uid="{588D2D07-11CC-4351-8D92-49B9ACE9563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" authorId="0" shapeId="0" xr:uid="{B9680615-8388-43F7-92AD-56874EB76F6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" authorId="0" shapeId="0" xr:uid="{98BECDB2-14D3-4752-BF21-2ABD619B58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" authorId="0" shapeId="0" xr:uid="{7067FE9B-184D-4629-9396-B4544770EF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" authorId="0" shapeId="0" xr:uid="{DCA52D0B-6B1A-4D33-9F84-5007C6CD1DF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" authorId="0" shapeId="0" xr:uid="{13F4A39D-BBC4-4844-B46C-083A3F06D02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" authorId="0" shapeId="0" xr:uid="{E43373A2-FE9D-4817-A909-599FD167B09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" authorId="0" shapeId="0" xr:uid="{432E284C-4021-445D-A4D0-C07844A6C1B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" authorId="0" shapeId="0" xr:uid="{F4B7D2BD-2C14-4DA3-8E47-E93ACA0041D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" authorId="0" shapeId="0" xr:uid="{7F5FB43D-0B20-4B80-B02D-5E8D443459C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" authorId="0" shapeId="0" xr:uid="{00ACB6DE-163A-4F38-89EA-27BA58F150B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" authorId="0" shapeId="0" xr:uid="{CAC6D722-73CA-43F3-BFD2-4A1FC9237EB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" authorId="0" shapeId="0" xr:uid="{1B6644EF-5902-4972-A964-0FC5AA78E99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" authorId="0" shapeId="0" xr:uid="{F3E0CADA-88CA-4A9D-B9B9-EB4B92BAE65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" authorId="0" shapeId="0" xr:uid="{5E142395-9548-4F73-9605-A07028115BB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" authorId="0" shapeId="0" xr:uid="{EEA6D57B-4D1D-4EF3-B789-F3A66C1CF8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" authorId="0" shapeId="0" xr:uid="{5B2500EA-489B-49A4-A632-163E16CA296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" authorId="0" shapeId="0" xr:uid="{01612FA5-E80D-4DAB-A16D-B773DDFAC48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" authorId="0" shapeId="0" xr:uid="{5F940877-508E-4A8F-AEA0-B6CD1A33DC0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" authorId="0" shapeId="0" xr:uid="{DB2E7C7B-F3B9-40B5-BE24-1448A2FDCA1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" authorId="0" shapeId="0" xr:uid="{EA2D1040-B01B-44D9-839F-BF7EBAA51F7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" authorId="0" shapeId="0" xr:uid="{F9085B5F-CB19-42D9-9A27-B751DECBF9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" authorId="0" shapeId="0" xr:uid="{7328D697-333F-4826-A397-E696024C12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" authorId="0" shapeId="0" xr:uid="{FF7ECE5F-56E2-43A1-8E62-D0AFB322B21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" authorId="0" shapeId="0" xr:uid="{D43E124C-FC3D-4EDE-87D1-C2583C78108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" authorId="0" shapeId="0" xr:uid="{6760EC7E-69C7-4BED-943D-A750461DBA9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" authorId="0" shapeId="0" xr:uid="{AAA9CDC6-F493-4464-A272-D746A122A7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" authorId="0" shapeId="0" xr:uid="{63DE4BE4-985A-4EE6-A535-290EC7717D6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" authorId="0" shapeId="0" xr:uid="{92D56992-C28C-417D-B6D2-CA675BE42C5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" authorId="0" shapeId="0" xr:uid="{A5823BC6-4A50-49A6-BF5C-998337E7695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" authorId="0" shapeId="0" xr:uid="{FB4E6A75-A809-49A5-9C49-D8D1868114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" authorId="0" shapeId="0" xr:uid="{1A178389-EBA9-4B42-8044-8CEAC13EC83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" authorId="0" shapeId="0" xr:uid="{9D775BC6-07FD-47D1-BC7D-3CB4608EE2A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" authorId="0" shapeId="0" xr:uid="{3FE0BC4E-3373-4E54-AB82-A085108277D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" authorId="0" shapeId="0" xr:uid="{F619FA10-5851-44F4-BEB6-8F674E07994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" authorId="0" shapeId="0" xr:uid="{233D521E-57C7-4A83-973A-8CF98B463B6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" authorId="0" shapeId="0" xr:uid="{9A9DFD38-611E-4F8D-8DAC-3C9F3B7289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" authorId="0" shapeId="0" xr:uid="{4EBAC449-AB2F-46BC-AA59-3DFC2BC89B9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" authorId="0" shapeId="0" xr:uid="{3D62B8B8-54E5-48E2-B467-3FD7A5B8563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" authorId="0" shapeId="0" xr:uid="{7386AC74-F90F-4B0F-A7FB-CBB13172947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" authorId="0" shapeId="0" xr:uid="{EE362785-EDA5-4EEF-9426-B9C6DFD0B38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" authorId="0" shapeId="0" xr:uid="{402A7C0D-7B3B-4A9D-AF13-50022546F62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" authorId="0" shapeId="0" xr:uid="{26CCA3AD-2D31-4EED-B97C-38EB2EBF9AF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" authorId="0" shapeId="0" xr:uid="{DDE0EAFE-5876-41FB-ADB3-EE329A4162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" authorId="0" shapeId="0" xr:uid="{258813BE-AD1A-486C-9DFF-6A31E1756F5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" authorId="0" shapeId="0" xr:uid="{EC76FD52-11AC-4E91-A6A2-B5579DF11A0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" authorId="0" shapeId="0" xr:uid="{91933B37-0741-464E-979F-97D02F423BD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" authorId="0" shapeId="0" xr:uid="{E5FF3162-FBE9-41BC-BC40-326D09AD1E2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" authorId="0" shapeId="0" xr:uid="{AD245B33-AFDE-4E65-ADC9-8A04556FE94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" authorId="0" shapeId="0" xr:uid="{B7C576BE-966A-4B82-85AE-AEEF7904CBC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" authorId="0" shapeId="0" xr:uid="{0CAB10D4-8163-431B-817F-074A3E86C5D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" authorId="0" shapeId="0" xr:uid="{9ED0E581-6BD9-4E73-AB57-D826A5A6EB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" authorId="0" shapeId="0" xr:uid="{9CC4FF8B-9673-48E2-9352-88BBD434368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" authorId="0" shapeId="0" xr:uid="{265E8614-0562-44DE-BC98-32FE3FE520F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" authorId="0" shapeId="0" xr:uid="{BBFE10C4-D0CD-458E-9FF5-103CBDDA05C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" authorId="0" shapeId="0" xr:uid="{90CCC67D-2F99-42CB-8188-AD13E161EB8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" authorId="0" shapeId="0" xr:uid="{D4CF9D92-F1FD-4942-84B5-814EF6890B8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2" authorId="0" shapeId="0" xr:uid="{F2207CC8-4A8B-4CF2-B8D8-59BB6139B58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2" authorId="0" shapeId="0" xr:uid="{B989CA7D-3AB3-4A78-9FA8-8F432A66FF5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2" authorId="0" shapeId="0" xr:uid="{985F69DB-DD11-4EFC-84F9-F9B78E95E60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2" authorId="0" shapeId="0" xr:uid="{CF80F343-6923-4896-9E88-ED5FF450C5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2" authorId="0" shapeId="0" xr:uid="{D9A6B244-A10B-46FD-A05C-CAECE636CE8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2" authorId="0" shapeId="0" xr:uid="{466D92CD-A05C-4974-8769-25FDFEECB10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2" authorId="0" shapeId="0" xr:uid="{01FE6FB8-A21B-4F26-A3AF-6B82AA89257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2" authorId="0" shapeId="0" xr:uid="{175F330B-5237-4339-A99D-29F4A870ABF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2" authorId="0" shapeId="0" xr:uid="{1530EE42-F2F6-45AF-AF3C-0DF4345C4AE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2" authorId="0" shapeId="0" xr:uid="{B299361D-D5C6-4797-B69B-0E64A65C68A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2" authorId="0" shapeId="0" xr:uid="{3CAE87C7-C4CB-4ECA-B32A-B27DF9B5759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3" authorId="0" shapeId="0" xr:uid="{C826186A-E5C4-4535-AB0A-9657969ACA9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3" authorId="0" shapeId="0" xr:uid="{D6D22480-59FC-49B6-8358-4649AE8A26F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3" authorId="0" shapeId="0" xr:uid="{D1C3FF0F-DCDB-4B83-B2D4-28263BD5DFA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3" authorId="0" shapeId="0" xr:uid="{4CEC4445-873C-4C56-A8BC-43A3E629BE8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3" authorId="0" shapeId="0" xr:uid="{BE40A12A-2767-4C1E-A642-D64B4A33BBD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3" authorId="0" shapeId="0" xr:uid="{99EFCE4A-AB77-40CD-9371-CC0D9B3CA87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3" authorId="0" shapeId="0" xr:uid="{B6AF79B3-5139-47B0-92A3-7DCE6B4348D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3" authorId="0" shapeId="0" xr:uid="{A5B8A566-7EC2-4585-9452-D89E0426F9D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3" authorId="0" shapeId="0" xr:uid="{B2B98DD3-61D9-4527-A491-E0DC7AE8DB0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3" authorId="0" shapeId="0" xr:uid="{6B8538A4-D8B7-47D8-99A6-DB8C0754DA4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3" authorId="0" shapeId="0" xr:uid="{100F1222-E163-4742-9EF1-D4EF1C45ED6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4" authorId="0" shapeId="0" xr:uid="{C98C60F3-C413-464B-BA48-B439922ECD5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4" authorId="0" shapeId="0" xr:uid="{3B597C34-3F67-460F-A67A-1BDF374EB41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4" authorId="0" shapeId="0" xr:uid="{9DB9560A-B0D8-4B37-B085-D4B25E126F0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4" authorId="0" shapeId="0" xr:uid="{76981DDB-A1B9-4CE1-A398-3684204DD32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4" authorId="0" shapeId="0" xr:uid="{B0B54556-28BC-4AC8-962D-4B1FA8366DF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4" authorId="0" shapeId="0" xr:uid="{05F06D1A-A3FC-4912-AED6-DB7B741F04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4" authorId="0" shapeId="0" xr:uid="{1C47DA86-9709-47F1-8610-4A9FC40B46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4" authorId="0" shapeId="0" xr:uid="{AF82906C-FD88-44CD-AB95-BD031E646DA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4" authorId="0" shapeId="0" xr:uid="{C1D78D5B-D0B5-41C8-8C00-F67EFC68849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4" authorId="0" shapeId="0" xr:uid="{67C47B96-167F-4129-9E6F-7AD6CDDFA0E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4" authorId="0" shapeId="0" xr:uid="{A820A867-2379-4974-9971-F16E6DEB21D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5" authorId="0" shapeId="0" xr:uid="{A8104011-2396-43A5-A71B-2E13431E98B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5" authorId="0" shapeId="0" xr:uid="{FB761A99-4D86-4271-8859-2A52237F24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5" authorId="0" shapeId="0" xr:uid="{D81B466B-2A32-404F-926D-3C67A943EE8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5" authorId="0" shapeId="0" xr:uid="{DC54DB55-408A-4D9B-800D-6C76291194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5" authorId="0" shapeId="0" xr:uid="{124F5F72-EBB2-4464-9E19-D9D3659824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5" authorId="0" shapeId="0" xr:uid="{85547B68-3C1D-4AD2-A1BF-BB3FE29F7D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5" authorId="0" shapeId="0" xr:uid="{04A708B0-4EAE-43BF-8A9B-760EEA135E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5" authorId="0" shapeId="0" xr:uid="{11C02841-0DF1-4D50-8D4C-82D7C3FA102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5" authorId="0" shapeId="0" xr:uid="{812FCB67-417C-401E-9440-758A3A8B3F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5" authorId="0" shapeId="0" xr:uid="{B85DF027-A61C-4079-B607-1D8D710ADA5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5" authorId="0" shapeId="0" xr:uid="{406B337B-6C40-4E7D-96BC-D452FE86FFB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6" authorId="0" shapeId="0" xr:uid="{D7FE58E2-7D16-4B86-9C89-2AAF3A44AAD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6" authorId="0" shapeId="0" xr:uid="{D97B3DCF-6EE4-44B9-9070-DB3ACA238A0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6" authorId="0" shapeId="0" xr:uid="{E55D4605-3957-4667-85AE-A9ABA79A3A5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6" authorId="0" shapeId="0" xr:uid="{05EE924D-EE6B-4A4D-8EFE-8ECCEBB681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6" authorId="0" shapeId="0" xr:uid="{5E519BEE-84AC-4F59-831D-55A8090664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6" authorId="0" shapeId="0" xr:uid="{2BFA5A79-9758-4E76-8287-E5192E4E2BC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6" authorId="0" shapeId="0" xr:uid="{20D3FF5F-399F-4B54-ADCC-62FADA6674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6" authorId="0" shapeId="0" xr:uid="{7CD21604-397C-40AD-9CF9-129A37477E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6" authorId="0" shapeId="0" xr:uid="{B7921090-93FF-455D-A1C8-841E32E404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6" authorId="0" shapeId="0" xr:uid="{3A414432-CFDD-482B-96D7-44F27E1076A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6" authorId="0" shapeId="0" xr:uid="{963372A3-5512-4264-8E47-61B41902F9A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7" authorId="0" shapeId="0" xr:uid="{D739D41D-64F1-474C-BDB8-445C7AA3C41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7" authorId="0" shapeId="0" xr:uid="{A95488D7-F6FA-492C-92A2-6481428A0D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7" authorId="0" shapeId="0" xr:uid="{3B59894F-313C-4E51-894E-AA06C23303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7" authorId="0" shapeId="0" xr:uid="{730BA19F-226C-4C10-B562-056827F727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7" authorId="0" shapeId="0" xr:uid="{700C4A4C-BC59-4E3C-8AE7-5308720F21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7" authorId="0" shapeId="0" xr:uid="{A09F8474-EF92-488B-A430-CAC2F33B5ED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7" authorId="0" shapeId="0" xr:uid="{9E6F8A9D-349E-4107-B275-53A5FDF15A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7" authorId="0" shapeId="0" xr:uid="{8EEF6555-D455-46A2-B938-0221A5B1F13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7" authorId="0" shapeId="0" xr:uid="{EFB09DF3-D26A-4033-9B31-9C985665025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7" authorId="0" shapeId="0" xr:uid="{287A1AB3-6CDC-4D23-B3DB-1A602A32041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7" authorId="0" shapeId="0" xr:uid="{3017F3C6-117E-4DC8-BD1B-03A8A318BB5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8" authorId="0" shapeId="0" xr:uid="{DC2AD78C-27D8-4E36-90DD-05E48C8445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8" authorId="0" shapeId="0" xr:uid="{98D29F9E-408E-4FE0-A147-4B71D6EC246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8" authorId="0" shapeId="0" xr:uid="{F9D9EDD9-AA93-4097-B664-1E0AC3FEE8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8" authorId="0" shapeId="0" xr:uid="{D12FAC1D-F908-46FA-8A03-F3B3807029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8" authorId="0" shapeId="0" xr:uid="{6E37FA82-9E8D-47C8-98E0-0B4ED9E24F8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8" authorId="0" shapeId="0" xr:uid="{E91ED211-4312-493C-93D9-710BBA895C8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8" authorId="0" shapeId="0" xr:uid="{9C55D3A2-1F21-4FAB-9B7A-EE296F2AE58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8" authorId="0" shapeId="0" xr:uid="{DA35B429-3BE2-4D56-A121-67D77221A9C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8" authorId="0" shapeId="0" xr:uid="{8BEC40DB-56C7-4094-8282-14FE353E8ED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8" authorId="0" shapeId="0" xr:uid="{01D18446-9D87-4048-95DF-F211F09EA1E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8" authorId="0" shapeId="0" xr:uid="{690E68E9-4659-4FF6-92E0-9AEABA89196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9" authorId="0" shapeId="0" xr:uid="{0795D9DF-4666-4AFE-9D98-58F279D9F3B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9" authorId="0" shapeId="0" xr:uid="{CF0152C1-2DC7-4CB8-B225-B876DA6A770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9" authorId="0" shapeId="0" xr:uid="{5618F375-9C1B-46CE-BD18-442F0B4D083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9" authorId="0" shapeId="0" xr:uid="{258121EB-D0ED-4987-83F1-41104B7A68A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9" authorId="0" shapeId="0" xr:uid="{42A4D196-F133-45F1-8B9F-6AD7402E78A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9" authorId="0" shapeId="0" xr:uid="{973237FA-57C7-4FAB-8967-F8102AAAC82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9" authorId="0" shapeId="0" xr:uid="{C005082C-9A25-4B92-91A9-C52C88F7ABC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9" authorId="0" shapeId="0" xr:uid="{F721E110-4822-44E8-ABBE-30DDCE4836D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9" authorId="0" shapeId="0" xr:uid="{07DB432A-9372-4ACA-B0A2-2952ADC5788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9" authorId="0" shapeId="0" xr:uid="{52AECBB7-EEA0-46A4-9AA7-9196061A203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9" authorId="0" shapeId="0" xr:uid="{A13554C3-E86D-4D3C-BCEE-45AFDAED69F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0" authorId="0" shapeId="0" xr:uid="{C3CFFE2D-DEF0-42F7-806A-BE94102797D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0" authorId="0" shapeId="0" xr:uid="{460859D2-0FFB-455D-A018-9DE0D6890D9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0" authorId="0" shapeId="0" xr:uid="{B1C60227-CF11-4E2C-B5AC-34B158C89C4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0" authorId="0" shapeId="0" xr:uid="{7F2A0910-B7E0-49A3-AD28-F567042E3A7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0" authorId="0" shapeId="0" xr:uid="{9029B136-FCF6-4453-A75E-2FD78C8BD56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0" authorId="0" shapeId="0" xr:uid="{DF754B00-2ECB-4F0E-8744-435B6B4F42C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0" authorId="0" shapeId="0" xr:uid="{0C5846D2-189C-48C1-9DE2-410D6F1C7AB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0" authorId="0" shapeId="0" xr:uid="{350A280B-886A-41BF-873C-1529D71F49A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0" authorId="0" shapeId="0" xr:uid="{9A874D85-DEB5-4F18-A35F-EDE85CC36F2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0" authorId="0" shapeId="0" xr:uid="{DF1ABF9F-DCDE-4406-B737-63EE2B23039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0" authorId="0" shapeId="0" xr:uid="{9551543C-D321-4F5B-9BAB-2ED4428128F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1" authorId="0" shapeId="0" xr:uid="{D5729898-F784-4DE6-B5C1-DFFFE5F5D4A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1" authorId="0" shapeId="0" xr:uid="{ACCF2501-77BE-4D3C-9CF6-FD951E22675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1" authorId="0" shapeId="0" xr:uid="{F82729EA-5F1F-4A89-905A-0D54A9553CD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1" authorId="0" shapeId="0" xr:uid="{073ADE59-7784-44F2-A9A5-3D5953BCC12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1" authorId="0" shapeId="0" xr:uid="{878FE7F9-33FF-44CE-B94D-221D83CEE1A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1" authorId="0" shapeId="0" xr:uid="{683F13D6-13C0-4665-A540-8CCEBCAB045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1" authorId="0" shapeId="0" xr:uid="{75D7EADD-E3A6-4DCD-B8DA-76439B248A6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1" authorId="0" shapeId="0" xr:uid="{03924033-D585-442D-84E1-91222FC9FF8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1" authorId="0" shapeId="0" xr:uid="{1CA8A760-7B4A-4870-A69C-D63631E67D3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1" authorId="0" shapeId="0" xr:uid="{C736184C-D97C-4A29-A7FB-39C9459F270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1" authorId="0" shapeId="0" xr:uid="{7B9AE9A0-71CD-49C6-8F05-0BD5FBA1ED0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2" authorId="0" shapeId="0" xr:uid="{6B6D1F49-908F-415D-8C8E-47830A36624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2" authorId="0" shapeId="0" xr:uid="{551258C8-D720-4533-94DC-344421691D9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2" authorId="0" shapeId="0" xr:uid="{64265B27-FCE4-482B-9524-EB88BDEE488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2" authorId="0" shapeId="0" xr:uid="{40E1B77B-46CA-4172-89B8-71ADB67C4FC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2" authorId="0" shapeId="0" xr:uid="{BD560A5C-E956-43EA-8C9E-3E07E1F5ACB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2" authorId="0" shapeId="0" xr:uid="{4CC7B249-86CD-48DB-BF50-04965CFCAD5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2" authorId="0" shapeId="0" xr:uid="{A724CE0A-81E4-40BF-9369-220976C7C01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2" authorId="0" shapeId="0" xr:uid="{E4D3799A-562F-4507-BA55-2AC19850AC8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2" authorId="0" shapeId="0" xr:uid="{F0DB87E4-5D26-40AC-98EC-7D911CE0B6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2" authorId="0" shapeId="0" xr:uid="{205A8B40-D5B8-4243-8754-ACC67114957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2" authorId="0" shapeId="0" xr:uid="{6E02C1C3-0107-407E-9653-975815A0A71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3" authorId="0" shapeId="0" xr:uid="{288A1D59-D23D-4E46-8929-CD9136C268C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3" authorId="0" shapeId="0" xr:uid="{49ADF0A9-25A8-4147-BEC9-36873C1F57A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3" authorId="0" shapeId="0" xr:uid="{C723478A-7A89-4E6B-99A5-2ABFA88B73F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3" authorId="0" shapeId="0" xr:uid="{5DBFC0F3-FE7D-41FF-B2E5-4BA14E00DBF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3" authorId="0" shapeId="0" xr:uid="{0DCCB795-8922-4070-9D38-570A56BF70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3" authorId="0" shapeId="0" xr:uid="{8A793D20-5BF9-459F-A7C9-1E35A215CDA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3" authorId="0" shapeId="0" xr:uid="{5C778F0D-B88F-4BAE-A90D-1E48FE3D8F2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3" authorId="0" shapeId="0" xr:uid="{F798B42F-E028-4BBB-B9C4-508711912B0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3" authorId="0" shapeId="0" xr:uid="{C972B6B3-A007-4876-809F-9D2CE1F86B1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3" authorId="0" shapeId="0" xr:uid="{20C92E86-6775-48A6-9453-7FC3F6F2D8C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3" authorId="0" shapeId="0" xr:uid="{3A087B67-DEA8-4192-B955-824F680D171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4" authorId="0" shapeId="0" xr:uid="{1625EFC6-CA1E-4079-B0C7-C3BD92C559F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4" authorId="0" shapeId="0" xr:uid="{4B4BF7CF-AC28-4FB8-86CA-62F0F5BDE39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4" authorId="0" shapeId="0" xr:uid="{E9AF5604-44C3-4C38-BC75-ED28F4762D3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4" authorId="0" shapeId="0" xr:uid="{7299C42E-2BD0-4D71-A082-A5588FEC0EF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4" authorId="0" shapeId="0" xr:uid="{4F406289-93F8-425B-9BF8-974621B20EF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4" authorId="0" shapeId="0" xr:uid="{3DEFD9C0-93F3-46B7-8392-E022C56C069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4" authorId="0" shapeId="0" xr:uid="{D01D2533-196D-4766-AFCA-51B3F453E26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4" authorId="0" shapeId="0" xr:uid="{7BC518DB-32EF-4B5B-9B8F-D216F8A4FE7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4" authorId="0" shapeId="0" xr:uid="{80DD32CC-F6DB-4623-82A8-5183DDE0C3D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4" authorId="0" shapeId="0" xr:uid="{887CA209-7581-4B79-B971-685F4CDAAEE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4" authorId="0" shapeId="0" xr:uid="{024D9654-2890-457D-B83A-8B469232E95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5" authorId="0" shapeId="0" xr:uid="{FD2B8E51-5C60-4256-B150-46C665989F0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5" authorId="0" shapeId="0" xr:uid="{F6734921-EDCC-4C60-B6CD-AC504116BD7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5" authorId="0" shapeId="0" xr:uid="{A5FA3895-D218-4416-8D0B-2039287E784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5" authorId="0" shapeId="0" xr:uid="{AB94DDE9-A7EC-494C-817C-7114F8F978D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5" authorId="0" shapeId="0" xr:uid="{BB75A818-3438-4A28-8AD6-94D67DEF9A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5" authorId="0" shapeId="0" xr:uid="{FEA67A00-D7C7-4217-83BC-BDBC77E5347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5" authorId="0" shapeId="0" xr:uid="{0CAEEC48-7D76-4F64-860A-3CD4F54927E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5" authorId="0" shapeId="0" xr:uid="{C67BF3B4-B079-450A-ABC3-D833C6D048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5" authorId="0" shapeId="0" xr:uid="{DD2CE161-1C57-4EF1-B19E-BBCBDA7330E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5" authorId="0" shapeId="0" xr:uid="{F2947E70-7FF4-4D80-9E1A-BE3DD79634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5" authorId="0" shapeId="0" xr:uid="{F573D702-FE15-4F41-9ABA-D3397F52323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8" authorId="0" shapeId="0" xr:uid="{3AD4E591-C282-454E-86D8-D947BCE56FD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8" authorId="0" shapeId="0" xr:uid="{BCCF39AE-66F3-4AA0-A4A0-7D0C90091B6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8" authorId="0" shapeId="0" xr:uid="{4709AFE0-9195-4074-8049-C1D0F26BE09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8" authorId="0" shapeId="0" xr:uid="{942ABB28-0C77-4749-B32A-DAE20D54C31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8" authorId="0" shapeId="0" xr:uid="{583C1430-6AEC-4804-A016-084D959FD53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8" authorId="0" shapeId="0" xr:uid="{FD9E984C-2409-47A0-8228-D4263003127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8" authorId="0" shapeId="0" xr:uid="{EE8A4303-8324-4211-B675-C8FB33C28C9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8" authorId="0" shapeId="0" xr:uid="{BA6C8927-5862-4AE5-940E-C6209F8A8A4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8" authorId="0" shapeId="0" xr:uid="{08EF1821-F592-4B15-AE8C-7B8346A8EB9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8" authorId="0" shapeId="0" xr:uid="{294B2AFD-2D53-4405-90A1-EE71918F3BF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8" authorId="0" shapeId="0" xr:uid="{36AAE017-7EEE-4623-B0C7-E10D1B5A949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29" authorId="0" shapeId="0" xr:uid="{A8B8C870-C003-41F1-AB4B-67945B142C8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29" authorId="0" shapeId="0" xr:uid="{BD1B0231-4ABB-4035-B73E-A014041FAF2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29" authorId="0" shapeId="0" xr:uid="{19C057E4-70D4-4DA7-9E88-645C2FC4609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29" authorId="0" shapeId="0" xr:uid="{877925D6-B12A-4428-9679-8CA1CCD25AC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29" authorId="0" shapeId="0" xr:uid="{FAC5AD6C-ECE7-49E4-8F1D-ABC6485D4C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29" authorId="0" shapeId="0" xr:uid="{5FCE853F-A526-41F2-81FF-1C1EAC81404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29" authorId="0" shapeId="0" xr:uid="{5A87DCBA-9613-4DA3-A083-7C968F68FDF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29" authorId="0" shapeId="0" xr:uid="{2668EEA7-9D24-42B7-BEE4-5E78A8BAFA8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29" authorId="0" shapeId="0" xr:uid="{92717674-4533-4851-9D77-BC5BC7F0F1D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29" authorId="0" shapeId="0" xr:uid="{91607238-0617-4ACE-86BA-13A176450B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29" authorId="0" shapeId="0" xr:uid="{EAEB67F8-4294-4861-BBE7-CAE09DF5CC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0" authorId="0" shapeId="0" xr:uid="{24F931F1-105D-4B3A-B5FA-697F6C584D8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0" authorId="0" shapeId="0" xr:uid="{A019C069-B9B6-4D1F-BFF3-9383EF277F2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0" authorId="0" shapeId="0" xr:uid="{80C934EC-5FCE-4696-96D8-874B7212A74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0" authorId="0" shapeId="0" xr:uid="{23C9CB12-A923-45E8-98EA-36AE756D3B6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0" authorId="0" shapeId="0" xr:uid="{AB2AA5B9-150A-4FED-9C1C-719683FCBAC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0" authorId="0" shapeId="0" xr:uid="{6DD4F27E-1751-4F83-A8BC-582C12D9269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0" authorId="0" shapeId="0" xr:uid="{443A8742-CF68-46F8-959C-7639A189549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0" authorId="0" shapeId="0" xr:uid="{8ECDF79B-1885-4266-A9FA-263B0C3F162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0" authorId="0" shapeId="0" xr:uid="{202FA42F-946E-4D4A-B892-458304E473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0" authorId="0" shapeId="0" xr:uid="{75950BAF-9A68-4056-9F38-A9E7CDF61E7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0" authorId="0" shapeId="0" xr:uid="{61869A84-865E-439F-A813-011710314F3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1" authorId="0" shapeId="0" xr:uid="{DFE0637B-8398-4C48-9373-C96E63D50E5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1" authorId="0" shapeId="0" xr:uid="{4138101E-3F3B-41CD-A617-6AB12EACF40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1" authorId="0" shapeId="0" xr:uid="{155CDCA1-4825-4C6D-B517-BAB5495F70C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1" authorId="0" shapeId="0" xr:uid="{72691408-2BF0-438E-8138-8392CF86370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1" authorId="0" shapeId="0" xr:uid="{4841DEE5-7B28-4DDA-9253-A91E3BD6CA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1" authorId="0" shapeId="0" xr:uid="{C81A77D7-E47C-4A9D-8B6C-E0B8C7261FC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1" authorId="0" shapeId="0" xr:uid="{A1A2CF33-6A91-483A-9AFD-FFD3B2F8B90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1" authorId="0" shapeId="0" xr:uid="{A5EA05BB-4593-4E8A-B4FA-7F4D6FAA439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1" authorId="0" shapeId="0" xr:uid="{9AAED9BF-F0E8-4865-9EC2-5ADBE6E0C71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1" authorId="0" shapeId="0" xr:uid="{D47E9785-2EA7-435D-A5E4-E35B02853EF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1" authorId="0" shapeId="0" xr:uid="{4F90A5D5-5C50-4852-BD2D-2A971F7DB11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2" authorId="0" shapeId="0" xr:uid="{BBBCF48F-79D9-40E8-96D7-A260BBC268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2" authorId="0" shapeId="0" xr:uid="{0902D59C-15B4-4B2B-BA91-317E9E21201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2" authorId="0" shapeId="0" xr:uid="{26679E90-5747-4E5A-B76A-D18AA4D8127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2" authorId="0" shapeId="0" xr:uid="{73094993-1B42-4876-BCD3-86835A8771C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2" authorId="0" shapeId="0" xr:uid="{EBF59638-4F84-461F-8DE8-2EBB449199D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2" authorId="0" shapeId="0" xr:uid="{6175C6B6-A6DB-4B3A-A523-670B75B2B0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2" authorId="0" shapeId="0" xr:uid="{63358CD9-850F-494D-A09F-440F0E7B722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2" authorId="0" shapeId="0" xr:uid="{C5598C89-9596-404A-B4B5-7680F22F22E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2" authorId="0" shapeId="0" xr:uid="{D1D88190-346E-44A3-B872-474887CE2DE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2" authorId="0" shapeId="0" xr:uid="{CDE0A977-C6F5-42C2-AD54-74EB57BEFD7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2" authorId="0" shapeId="0" xr:uid="{0AC7CF75-50E4-46D4-9C98-F7C0F40866A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3" authorId="0" shapeId="0" xr:uid="{7AA107BD-8A15-4C64-8930-3C4459D6565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3" authorId="0" shapeId="0" xr:uid="{CD4B1195-3BF6-4017-BB49-F1324FF9CF3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3" authorId="0" shapeId="0" xr:uid="{E29D02E5-6441-4F62-9187-4590D6DAD68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3" authorId="0" shapeId="0" xr:uid="{143C4553-CE8F-4199-A39A-3379109196E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3" authorId="0" shapeId="0" xr:uid="{79CCCCBF-B228-4DF6-A5C3-FEBF36319B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3" authorId="0" shapeId="0" xr:uid="{CC4212EB-98C2-4223-A03B-CF21CA04CFE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3" authorId="0" shapeId="0" xr:uid="{750B43D6-6092-468B-8E6A-9A51F519738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3" authorId="0" shapeId="0" xr:uid="{3070EFBF-13C8-4169-914A-D6625BD6B2A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3" authorId="0" shapeId="0" xr:uid="{CEB43122-CD05-4CED-B16E-602796BE7D1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3" authorId="0" shapeId="0" xr:uid="{D4E6B038-63E7-4416-A020-D77482C786E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3" authorId="0" shapeId="0" xr:uid="{15FE7E3E-2E51-49E4-9BC7-97E2D35C30A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4" authorId="0" shapeId="0" xr:uid="{21809F55-06E7-4731-9E92-594887CBD09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4" authorId="0" shapeId="0" xr:uid="{82724AE7-C748-4FF2-862A-831F64DCB5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4" authorId="0" shapeId="0" xr:uid="{DD24F522-FA27-423E-97D2-AFCAD40EA94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4" authorId="0" shapeId="0" xr:uid="{959CD355-64EE-470D-AF3F-722ABD9025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4" authorId="0" shapeId="0" xr:uid="{A2FFA26A-93EC-4B9B-84FB-85E8FFE055B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4" authorId="0" shapeId="0" xr:uid="{9CDC910B-6DD6-48B9-868E-3B0BCD7E6F3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4" authorId="0" shapeId="0" xr:uid="{2535DA33-5179-4468-A624-9441315B401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4" authorId="0" shapeId="0" xr:uid="{DD449CC2-ADDC-47AF-9120-8FD51FE7BA1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4" authorId="0" shapeId="0" xr:uid="{E10F7572-451F-4EA8-A68E-E5178AE5BB9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4" authorId="0" shapeId="0" xr:uid="{0AB56FA8-2611-4918-99F8-228CA392EE0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4" authorId="0" shapeId="0" xr:uid="{5B6D8D53-924F-4E1A-979A-2DD9AC1FA4C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5" authorId="0" shapeId="0" xr:uid="{F4D89727-4182-4DCB-94BD-EFD34D600CC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5" authorId="0" shapeId="0" xr:uid="{0551F5A4-ED1A-4EA3-8E31-A2E623B6B6B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5" authorId="0" shapeId="0" xr:uid="{34968C58-50F7-41E1-AD69-D699AC380B6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5" authorId="0" shapeId="0" xr:uid="{F3ED7099-1CE5-4A78-A652-1281A7E60E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5" authorId="0" shapeId="0" xr:uid="{8ED4470A-A3C1-41DA-882D-61DBDE238F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5" authorId="0" shapeId="0" xr:uid="{B77CF019-4239-4448-ABC0-AC5D0A81862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5" authorId="0" shapeId="0" xr:uid="{596FF871-9163-46D2-8A67-C5BF00C78DB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5" authorId="0" shapeId="0" xr:uid="{56F81C5A-35B1-410E-A527-4AF4BEBE5F8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5" authorId="0" shapeId="0" xr:uid="{7B79080D-E60D-44BC-9934-A89EFE1340B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5" authorId="0" shapeId="0" xr:uid="{C7D6ECFF-B183-4966-A0F5-677112C9237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5" authorId="0" shapeId="0" xr:uid="{67FEA51F-358B-43CD-80A2-D1A56D7FB30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6" authorId="0" shapeId="0" xr:uid="{4F69DA87-7485-4D05-A627-B23201EA5AD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6" authorId="0" shapeId="0" xr:uid="{B131C2A3-5A46-41F4-9C1B-F05E38CE1A9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6" authorId="0" shapeId="0" xr:uid="{DCF970D6-C2C7-46F2-9108-7FE3831AF69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6" authorId="0" shapeId="0" xr:uid="{3F8DEBC9-79AB-4A38-8D04-8D89F180250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6" authorId="0" shapeId="0" xr:uid="{A758CB80-64F5-439B-8D2E-4EFB8DBD96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6" authorId="0" shapeId="0" xr:uid="{4E933B9A-FC9A-4833-9BBB-274012E6CA8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6" authorId="0" shapeId="0" xr:uid="{72C2E908-EA92-490C-9F99-3536E1E22DD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6" authorId="0" shapeId="0" xr:uid="{EBA37D5D-E02D-4807-A79A-6A1CD9BE59A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6" authorId="0" shapeId="0" xr:uid="{670E61A3-A4B4-4746-86A5-0C5074784C0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6" authorId="0" shapeId="0" xr:uid="{7DF98354-550A-40DC-A485-36C34EFCC4F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6" authorId="0" shapeId="0" xr:uid="{5D0DE51C-6B9A-4E6C-8F82-10D207CFCF2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7" authorId="0" shapeId="0" xr:uid="{5E76D669-D0DE-4118-91C4-FF62E8B3117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37" authorId="0" shapeId="0" xr:uid="{2652231F-28A4-4D7D-A07E-D8B7A53A468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37" authorId="0" shapeId="0" xr:uid="{49068A8D-1903-4589-B0A3-48B82CBD39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37" authorId="0" shapeId="0" xr:uid="{D03C5243-176C-4673-B577-E66CEB6203B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37" authorId="0" shapeId="0" xr:uid="{BB9DEF5E-E389-407F-8CD3-76A77400806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37" authorId="0" shapeId="0" xr:uid="{4F66763A-CDAA-4F91-8EDC-6492000EBD2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37" authorId="0" shapeId="0" xr:uid="{1742CE2E-C4DC-4486-B87A-EB4B68152BA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37" authorId="0" shapeId="0" xr:uid="{F5C4E778-837A-4D31-A769-A6BA853C19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37" authorId="0" shapeId="0" xr:uid="{C901C4CB-8555-45BE-9C1A-3A3B8297070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37" authorId="0" shapeId="0" xr:uid="{48DFB1E0-46AE-4A8F-8C73-F5BF5C57735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7" authorId="0" shapeId="0" xr:uid="{72A21D0D-CDD4-432C-B46B-BEAC4648DED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8" authorId="0" shapeId="0" xr:uid="{8C5B3F3D-F277-414E-A9A9-1991EEB4A46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8" authorId="0" shapeId="0" xr:uid="{1B308C47-204B-49E1-9EFA-A1A060A353C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8" authorId="0" shapeId="0" xr:uid="{417FE33C-77DE-4898-B7AC-52B109A71CF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8" authorId="0" shapeId="0" xr:uid="{35EFBFBE-A977-4E4E-8D51-62BCC6ECD4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8" authorId="0" shapeId="0" xr:uid="{44A82289-727A-46F5-9DAA-ED0235411B6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8" authorId="0" shapeId="0" xr:uid="{FF26656E-05BC-44F2-A508-A432BCD3CD1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8" authorId="0" shapeId="0" xr:uid="{1432DB2A-615C-4A40-B957-ACCFF4D3737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8" authorId="0" shapeId="0" xr:uid="{1B4EFD9F-F365-4563-8068-5EE62DC7DD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8" authorId="0" shapeId="0" xr:uid="{2813375A-BD96-4630-BE01-66F66E2B12E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8" authorId="0" shapeId="0" xr:uid="{7D17C822-64A0-4DB4-AC7C-789FAEB1ED3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38" authorId="0" shapeId="0" xr:uid="{47275A72-F88E-4183-9B77-0E8AF05F558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39" authorId="0" shapeId="0" xr:uid="{3360B68E-AA5C-4A43-BCE4-05151B3C83D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39" authorId="0" shapeId="0" xr:uid="{1C0AC953-8121-4DDB-BA40-970347AE5D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39" authorId="0" shapeId="0" xr:uid="{0852694D-27F3-44F4-81B3-353298AD4DF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39" authorId="0" shapeId="0" xr:uid="{F6B1A5B3-33CA-488A-9400-87C35E1AECC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39" authorId="0" shapeId="0" xr:uid="{0407A45F-E166-40BF-8603-058FD6A7812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39" authorId="0" shapeId="0" xr:uid="{BCAA5E9B-A8CE-4F39-84C6-C4D38439C70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39" authorId="0" shapeId="0" xr:uid="{70E9D8F5-9258-4256-B0BC-0DB6927EF6E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39" authorId="0" shapeId="0" xr:uid="{654BDAA5-A571-4AE4-BFA7-F2F8E13D32C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39" authorId="0" shapeId="0" xr:uid="{98EE1129-7BAA-482D-8585-62A1AA7F0CD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39" authorId="0" shapeId="0" xr:uid="{D711F74F-F989-449E-B57D-2FD46798DA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39" authorId="0" shapeId="0" xr:uid="{5114328C-F0D3-4731-929F-3441A9849C5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0" authorId="0" shapeId="0" xr:uid="{04C0B595-E0AD-4353-BC5D-F6D87D8D86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40" authorId="0" shapeId="0" xr:uid="{85C057E0-405D-45FF-B0A2-B65B85668AB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40" authorId="0" shapeId="0" xr:uid="{9DFFD93C-D850-49D0-96F5-F96D6263C3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40" authorId="0" shapeId="0" xr:uid="{65DC84E4-3219-4AB7-9904-9ADDA6DA288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40" authorId="0" shapeId="0" xr:uid="{581D9FA5-3A08-447B-9E89-3CD2E38C7B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40" authorId="0" shapeId="0" xr:uid="{146237BD-7CB7-4851-95B8-4E0964BD21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40" authorId="0" shapeId="0" xr:uid="{3920CB4B-DF92-4993-83E4-097A82F2814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40" authorId="0" shapeId="0" xr:uid="{2FEE011B-7CBF-4FBA-9310-262E3A64652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40" authorId="0" shapeId="0" xr:uid="{BC558BD6-4F4C-405E-A8A7-E7619592129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40" authorId="0" shapeId="0" xr:uid="{3B51ACDF-F856-4563-BCCF-F86379E0F50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40" authorId="0" shapeId="0" xr:uid="{5146199F-06E5-4E79-B06A-7242DCCC64A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1" authorId="0" shapeId="0" xr:uid="{EEB26D30-1ED0-4402-AD93-39C05FE5D4B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1" authorId="0" shapeId="0" xr:uid="{CAC0B57C-6F41-4DE2-8479-44CEFB2F513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1" authorId="0" shapeId="0" xr:uid="{0B50499D-7DBD-47B5-B9A0-6DB05BC5760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1" authorId="0" shapeId="0" xr:uid="{563CAE81-92C1-4011-9FCF-C837653BFC7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1" authorId="0" shapeId="0" xr:uid="{1C6FE566-A829-4A27-8FD7-ED3111E578E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1" authorId="0" shapeId="0" xr:uid="{55A995CF-8B14-4336-9CEA-3BFC5887A57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1" authorId="0" shapeId="0" xr:uid="{27645885-8B45-40A8-8324-4CB98AC0E0E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1" authorId="0" shapeId="0" xr:uid="{CBBD378D-7A43-4E6B-844F-01573F2E774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1" authorId="0" shapeId="0" xr:uid="{65F91FF9-5FE4-4370-A43F-D936C67AEB4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1" authorId="0" shapeId="0" xr:uid="{E4344F4A-238E-4B6E-B2F2-4AB8C44ABEE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1" authorId="0" shapeId="0" xr:uid="{AC30430C-0A24-436B-8B11-1A5B4D5AC85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2" authorId="0" shapeId="0" xr:uid="{A7D64015-7482-4105-A555-87F819DDFA5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2" authorId="0" shapeId="0" xr:uid="{D798BB82-B2FF-4342-826A-BCA611B73C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2" authorId="0" shapeId="0" xr:uid="{0473BFC8-A678-421B-B4EE-DBD2A288D64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2" authorId="0" shapeId="0" xr:uid="{566783E1-124B-4997-A86A-C88FEA499F8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2" authorId="0" shapeId="0" xr:uid="{C7A8674B-9980-4627-BC4E-BAC8C0A95AD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2" authorId="0" shapeId="0" xr:uid="{D670710D-3405-4CDB-887B-1E7BEE74816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2" authorId="0" shapeId="0" xr:uid="{16AA1D03-AA96-4A8A-9254-E3AD1ADF647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2" authorId="0" shapeId="0" xr:uid="{E9FF902B-8E1D-4F75-AA22-742C89F0861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2" authorId="0" shapeId="0" xr:uid="{A82DE3DF-C9B4-47F8-8FC2-1B074ADE21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2" authorId="0" shapeId="0" xr:uid="{2249678F-4880-495B-AFC4-1097AACCCA5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2" authorId="0" shapeId="0" xr:uid="{3448BDE4-C009-444D-8B46-D91ABD39EC8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3" authorId="0" shapeId="0" xr:uid="{199FB475-71DE-40DF-9485-A97A96D7C84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3" authorId="0" shapeId="0" xr:uid="{145C797E-7AB8-455A-AAF6-4DCBF54A18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3" authorId="0" shapeId="0" xr:uid="{86579E67-F4EE-4381-B467-565BC4BFDE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3" authorId="0" shapeId="0" xr:uid="{3BFEC22C-E2EE-44B0-B1EB-9BC71E07F0E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3" authorId="0" shapeId="0" xr:uid="{9BB1B275-D31B-4A11-9DE2-AF3F30D75A3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3" authorId="0" shapeId="0" xr:uid="{5E433425-8E2D-47FC-84CA-AB479DC5710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3" authorId="0" shapeId="0" xr:uid="{5763B3C5-5D33-47C3-9A32-579220A0B0D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3" authorId="0" shapeId="0" xr:uid="{5E7F8AC4-9748-4E95-BD04-2E674B38FC1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3" authorId="0" shapeId="0" xr:uid="{55E08293-B36E-4836-9961-691566AA943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3" authorId="0" shapeId="0" xr:uid="{F6166F89-E263-4D58-9B6B-30CA5DAE13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3" authorId="0" shapeId="0" xr:uid="{56E4A0A8-FA44-4A68-A18B-06B88C60BEA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4" authorId="0" shapeId="0" xr:uid="{5084B481-7B7E-452D-94E9-2CD068D0DC1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4" authorId="0" shapeId="0" xr:uid="{3A81B0E5-70D8-45CC-979C-A07AF38F7A3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4" authorId="0" shapeId="0" xr:uid="{C9EDD70A-F5C4-428A-B620-2C972AA5254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4" authorId="0" shapeId="0" xr:uid="{C6E44DBB-8D42-484D-BB13-94EEACD14D8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4" authorId="0" shapeId="0" xr:uid="{93313B45-F842-4AE4-8E24-193D416CC6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4" authorId="0" shapeId="0" xr:uid="{3C936143-33A6-45CE-B12A-13208A7CD5F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4" authorId="0" shapeId="0" xr:uid="{5F847ABE-9BCD-4981-B40C-610B1D0FEFA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4" authorId="0" shapeId="0" xr:uid="{124B44F4-78A8-46D3-AC66-014A819B27B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4" authorId="0" shapeId="0" xr:uid="{463298EA-0ECE-41DC-9FCA-24E3EFDA95D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4" authorId="0" shapeId="0" xr:uid="{7571D973-4F80-4F67-8B9A-E017D06BC61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4" authorId="0" shapeId="0" xr:uid="{AF6EDBBE-6E54-4F14-89D1-71842087F97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5" authorId="0" shapeId="0" xr:uid="{778EC931-E6B0-4C29-A6EB-6F2315D2FA1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5" authorId="0" shapeId="0" xr:uid="{ED930BF1-7ECA-45F0-B5B9-DBF87FFEEA9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5" authorId="0" shapeId="0" xr:uid="{BC7EF5CC-FAFA-40D5-B13C-C1EE58A06A6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5" authorId="0" shapeId="0" xr:uid="{CDBDC3A3-6A0E-4383-8742-520DF85BD78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5" authorId="0" shapeId="0" xr:uid="{237BACC2-6E39-4144-ACFE-F14E5CB0F2D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5" authorId="0" shapeId="0" xr:uid="{EB8114AE-E03F-4552-85E4-C6A9931D17E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5" authorId="0" shapeId="0" xr:uid="{F010D152-E2C6-41C1-BA24-B04D1558EDF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5" authorId="0" shapeId="0" xr:uid="{AE06A92F-0B67-48B5-B047-E63A30E8CAA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5" authorId="0" shapeId="0" xr:uid="{F3B63805-542E-4610-9655-38B70F4F0BE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5" authorId="0" shapeId="0" xr:uid="{2DFF6905-D91D-4915-950B-F9525818A37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5" authorId="0" shapeId="0" xr:uid="{D494AA48-39A0-41D2-B492-50CA7B692F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6" authorId="0" shapeId="0" xr:uid="{C33A8037-2F4B-4EB5-8FF1-623747BC5DC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6" authorId="0" shapeId="0" xr:uid="{41E6FED5-082C-407C-80A3-BB9B032B675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6" authorId="0" shapeId="0" xr:uid="{83882318-6906-43BD-AE32-F73835E42C5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6" authorId="0" shapeId="0" xr:uid="{B66A838D-FB66-44E0-B911-1084800645B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6" authorId="0" shapeId="0" xr:uid="{F40DE4AF-00BF-447C-A15C-861A5FB7BD8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6" authorId="0" shapeId="0" xr:uid="{4453BE72-B744-4805-8432-11A8547B03C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6" authorId="0" shapeId="0" xr:uid="{F7A191F3-7DDF-46AF-86BC-3B26937BC3C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6" authorId="0" shapeId="0" xr:uid="{2BC8D417-205A-441E-B758-E0C02DD59FE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6" authorId="0" shapeId="0" xr:uid="{525C388C-B7D1-4722-9926-2FFF965CC30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6" authorId="0" shapeId="0" xr:uid="{74E8BAD6-6E56-47D3-86D2-6D3E2AE84BE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6" authorId="0" shapeId="0" xr:uid="{6E3FD033-3462-49D4-AD0D-9AD9B0BB0B5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7" authorId="0" shapeId="0" xr:uid="{B3D6BB24-648A-49D4-A3BB-A9EF3D72F9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7" authorId="0" shapeId="0" xr:uid="{0851F686-2BAB-4BF6-A5DE-31A7466955D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7" authorId="0" shapeId="0" xr:uid="{E8F17D83-5416-4DFB-9D24-59DD4C47C14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7" authorId="0" shapeId="0" xr:uid="{CB7C61C3-9E97-4D02-A275-E57725EF8E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7" authorId="0" shapeId="0" xr:uid="{F6E269EF-C6FE-4F92-84D7-29E8EB88BA9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7" authorId="0" shapeId="0" xr:uid="{EDF19ACA-5FD6-44CC-8EC6-518574CC724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7" authorId="0" shapeId="0" xr:uid="{3F08DD6F-4219-4D2C-A58B-9C261B38CAE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7" authorId="0" shapeId="0" xr:uid="{BBCD547D-FB67-4A48-9118-8F0DE23B9EC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7" authorId="0" shapeId="0" xr:uid="{386F162D-490E-4596-85E1-BBEBCD6BE0B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7" authorId="0" shapeId="0" xr:uid="{5171356B-107C-42F5-8BF5-D4DD0E3B8A5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7" authorId="0" shapeId="0" xr:uid="{BE2DEF55-E598-4B05-A0F0-768F268784F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48" authorId="0" shapeId="0" xr:uid="{4A4CAB2D-79C0-4E29-8CCD-8891DD4F6C8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48" authorId="0" shapeId="0" xr:uid="{DCB01E29-84B7-44E3-97BF-D6BF1E9BDB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48" authorId="0" shapeId="0" xr:uid="{DD4AD759-0AFA-42CC-93C2-F8EBE1FA1B8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48" authorId="0" shapeId="0" xr:uid="{C334C8CF-8D5D-4C19-BD8A-EBF27AF3981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48" authorId="0" shapeId="0" xr:uid="{135872B8-F3C2-40CF-9B82-925818DCBFA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48" authorId="0" shapeId="0" xr:uid="{09C8EC96-58C2-400E-8711-1F5B0CC7922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48" authorId="0" shapeId="0" xr:uid="{733755C6-523A-4843-B8B8-8C867EFB386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48" authorId="0" shapeId="0" xr:uid="{CB9FF5CE-9959-450C-9277-1BDC78C1C0C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48" authorId="0" shapeId="0" xr:uid="{39DE9D5D-95CC-4934-9101-E11482C7B9A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48" authorId="0" shapeId="0" xr:uid="{B2367299-CB48-45D8-BB26-C8B464A0B9A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48" authorId="0" shapeId="0" xr:uid="{42FAF10E-31BC-4744-9B3F-D3788538E18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1" authorId="0" shapeId="0" xr:uid="{6986E358-9C21-47D6-8075-04D6A649777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1" authorId="0" shapeId="0" xr:uid="{8CAD1CEE-9F9C-41F2-A417-8BDF9889622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1" authorId="0" shapeId="0" xr:uid="{8B3B3BC9-A7B8-4285-BD68-BE9B3CCC435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1" authorId="0" shapeId="0" xr:uid="{DE69B7FD-9509-42E4-8ACE-F1AD93060FA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1" authorId="0" shapeId="0" xr:uid="{E2038635-1FEC-4B77-8714-09ECCD7EE82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1" authorId="0" shapeId="0" xr:uid="{3FFA5FD7-5CD3-4E34-9F0D-91D9C42F483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1" authorId="0" shapeId="0" xr:uid="{088FD236-31C2-40AE-B4E0-309B75001E5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1" authorId="0" shapeId="0" xr:uid="{403AA96F-80C8-4864-898D-8822B6ED731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1" authorId="0" shapeId="0" xr:uid="{17B6FAFA-9FD4-4E4E-9BD6-E975BC53890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1" authorId="0" shapeId="0" xr:uid="{96002A5C-C782-4187-98CB-466EB7437D7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1" authorId="0" shapeId="0" xr:uid="{72E868E6-E79D-4F52-956D-0202D92B8A7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2" authorId="0" shapeId="0" xr:uid="{C469C1F8-9A44-4796-89F8-2CC70B4E034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2" authorId="0" shapeId="0" xr:uid="{A8A23BD7-96D7-4C23-A3D7-D92B2D6C730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2" authorId="0" shapeId="0" xr:uid="{790B14F6-45BC-4CE9-AED0-08B28E23AD0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2" authorId="0" shapeId="0" xr:uid="{993B44D6-CA52-41C1-A60F-91DD6E63F9B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2" authorId="0" shapeId="0" xr:uid="{1E9242D7-5A5E-41D4-8E4E-166C4165400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2" authorId="0" shapeId="0" xr:uid="{5DAC29E6-C564-4425-8E22-8EF99C6C9FA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2" authorId="0" shapeId="0" xr:uid="{6619D233-2263-48BC-8FB1-B8031656F21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2" authorId="0" shapeId="0" xr:uid="{ECB87F76-B2EC-4C7F-97CA-D6E990F44A3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2" authorId="0" shapeId="0" xr:uid="{F9E6A72D-07AF-466F-A2FF-7A6FA100395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2" authorId="0" shapeId="0" xr:uid="{93F81324-A557-47D1-B06C-4394B79D6F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2" authorId="0" shapeId="0" xr:uid="{48AFB2CA-C532-41DF-8DAE-AC5C97832FE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3" authorId="0" shapeId="0" xr:uid="{CF524892-CEDD-4432-BF31-EE24BED665E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3" authorId="0" shapeId="0" xr:uid="{9DD5FEA5-C20E-4CD5-AB8B-F8EA6717AFB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3" authorId="0" shapeId="0" xr:uid="{AD0720D9-B1BA-43AA-A9C8-E27D7E49943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3" authorId="0" shapeId="0" xr:uid="{48AEE36C-11BD-42B6-84C4-0F2F8A04CB8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3" authorId="0" shapeId="0" xr:uid="{788DC773-90FB-4E77-9B6E-B5B72D5F840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3" authorId="0" shapeId="0" xr:uid="{FD7A64ED-9FDF-4122-A13B-72D9800D3D6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3" authorId="0" shapeId="0" xr:uid="{072E52C3-86E0-4222-8D0F-32EDD24949C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3" authorId="0" shapeId="0" xr:uid="{4D23B2C9-BBB3-439C-A032-1114F9FB650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3" authorId="0" shapeId="0" xr:uid="{71E759F2-B232-42E0-84EF-3BB170144B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3" authorId="0" shapeId="0" xr:uid="{65ACBA98-AEC8-48E1-AC4C-667697E5A51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3" authorId="0" shapeId="0" xr:uid="{309A327D-797D-495C-8CAC-449C904B1E0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4" authorId="0" shapeId="0" xr:uid="{23F7AE94-3D59-4FB5-ACAB-2A92146A350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4" authorId="0" shapeId="0" xr:uid="{66EC1C1A-4E9C-4AE1-8115-A0E22A0A7FE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4" authorId="0" shapeId="0" xr:uid="{2C8830FA-A29D-4D50-8F43-6C264EB658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4" authorId="0" shapeId="0" xr:uid="{84F7C6F8-01FD-409A-8F75-EB553021E51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4" authorId="0" shapeId="0" xr:uid="{9835E3A3-F1D2-4922-9C0D-3463AB7B67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4" authorId="0" shapeId="0" xr:uid="{39F10B22-7EF1-4ECD-A794-94DA7C62F63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4" authorId="0" shapeId="0" xr:uid="{5A3457A3-02B6-467E-B9D1-FE6429F1453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4" authorId="0" shapeId="0" xr:uid="{09D93B3D-31F9-4C13-874C-9F27A9E7D89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4" authorId="0" shapeId="0" xr:uid="{7C07B971-2CAF-4C5E-8A8A-26EFA619C0F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4" authorId="0" shapeId="0" xr:uid="{BF0FEF74-5543-4FD2-BEDC-F2F0C7BC052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4" authorId="0" shapeId="0" xr:uid="{ED65315E-53EA-40D5-BA11-633675E838D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5" authorId="0" shapeId="0" xr:uid="{1A0D0126-5C7B-499A-B7A8-96067459AD9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5" authorId="0" shapeId="0" xr:uid="{E08D48EB-DBFC-4B06-9C85-3E0387A1EE1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5" authorId="0" shapeId="0" xr:uid="{9E806EA2-A293-41E8-AF54-AB8F57E38D1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5" authorId="0" shapeId="0" xr:uid="{0AF39F39-D846-48DA-93DA-D11914ACFC3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5" authorId="0" shapeId="0" xr:uid="{46B4B4F7-FEFB-4428-A113-DF649621052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5" authorId="0" shapeId="0" xr:uid="{0C036BCF-4880-4FDF-ACE1-8BBDA144BDD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5" authorId="0" shapeId="0" xr:uid="{BCFA5CB5-705B-47EE-9730-98CC8B3A52F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5" authorId="0" shapeId="0" xr:uid="{2A2C128D-F16C-4B06-A829-283C7DC36A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5" authorId="0" shapeId="0" xr:uid="{EF951194-8295-4E1D-9500-0B08DEBBBE9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5" authorId="0" shapeId="0" xr:uid="{4276994D-A87C-47A1-A2AB-263A7C023D1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5" authorId="0" shapeId="0" xr:uid="{36A5E4E5-4583-4D45-9956-72347EFA0C2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6" authorId="0" shapeId="0" xr:uid="{9C1EB603-9CAD-48AD-B0EA-8DC77240231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6" authorId="0" shapeId="0" xr:uid="{5ACF1B08-6EC0-441B-A16C-C5A3ADA53F0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6" authorId="0" shapeId="0" xr:uid="{4323D5F3-AC4C-4394-A30E-421984DEA91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6" authorId="0" shapeId="0" xr:uid="{63680CFD-03B7-453F-8DED-17013FE7F7C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6" authorId="0" shapeId="0" xr:uid="{A41450A2-3EC7-450B-A194-1FDF8743031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6" authorId="0" shapeId="0" xr:uid="{2B006E7C-6366-44ED-B053-D8848159B6B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6" authorId="0" shapeId="0" xr:uid="{E8C5B748-0CA4-4A48-A2B3-5074579B621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6" authorId="0" shapeId="0" xr:uid="{0526C52A-ACD7-401B-98B9-AD6BABB5312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6" authorId="0" shapeId="0" xr:uid="{336997F8-E754-47D5-A81F-51C78C86E92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6" authorId="0" shapeId="0" xr:uid="{5229E351-59CD-48F4-86C6-675D2114504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6" authorId="0" shapeId="0" xr:uid="{0F077F8C-6D42-4574-A333-61C20002A80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7" authorId="0" shapeId="0" xr:uid="{C73D514E-84A9-497B-94A6-2A0EAC7F43C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7" authorId="0" shapeId="0" xr:uid="{2CFD9FBB-0063-4ABB-B00B-93E1CD22853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7" authorId="0" shapeId="0" xr:uid="{72A4CE81-AB77-4FF8-96E2-19B4065EEE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7" authorId="0" shapeId="0" xr:uid="{B69B2545-F0AE-42E9-8AB7-F7C2B884A09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7" authorId="0" shapeId="0" xr:uid="{863BE604-40E7-4335-B149-0DE9E9BA29E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7" authorId="0" shapeId="0" xr:uid="{31014D19-60E8-4A2A-A6C0-B46025000C8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7" authorId="0" shapeId="0" xr:uid="{33B21855-B790-4AFC-B1D9-C03372F349E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7" authorId="0" shapeId="0" xr:uid="{D89F8ACF-F64D-4D9B-9E77-AB425E05313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7" authorId="0" shapeId="0" xr:uid="{452C97CA-BBF3-4B5A-A7E6-F72337630B2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7" authorId="0" shapeId="0" xr:uid="{CDCBFB0A-B72D-4332-B831-1ECED12E122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7" authorId="0" shapeId="0" xr:uid="{029B268F-EF64-4B3A-8F66-D9861C85AD8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8" authorId="0" shapeId="0" xr:uid="{C24FE671-E344-408B-A06D-B06F9CB2343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8" authorId="0" shapeId="0" xr:uid="{5294C439-C820-42B6-AC24-649AC1D8C5D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8" authorId="0" shapeId="0" xr:uid="{43217BDB-B4D8-4900-BE14-3B5CE5A3EFE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8" authorId="0" shapeId="0" xr:uid="{B6C0A6C0-5798-4928-859A-A020A5E68B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8" authorId="0" shapeId="0" xr:uid="{0D1CCBC7-F639-42F3-B837-A3DAD5DF0CF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8" authorId="0" shapeId="0" xr:uid="{089F9242-8C57-4746-8AC8-2A062556159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8" authorId="0" shapeId="0" xr:uid="{CDF0C22F-76E9-4983-BBAC-48BE4F73F62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8" authorId="0" shapeId="0" xr:uid="{92A87FCC-4EB4-403B-93D9-9DB5497D767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8" authorId="0" shapeId="0" xr:uid="{8CE20DA8-E54B-4AA3-971B-F18D52B5829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8" authorId="0" shapeId="0" xr:uid="{9319FA2D-FBD3-489E-9CE5-736D5B417FA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8" authorId="0" shapeId="0" xr:uid="{32A8D00B-8C53-4FB5-94BD-D74562E492B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59" authorId="0" shapeId="0" xr:uid="{0E6291C7-B70F-4F08-ACE9-62DAFBD689C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59" authorId="0" shapeId="0" xr:uid="{694C284A-E9A4-452F-99FF-B59EC0C1502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59" authorId="0" shapeId="0" xr:uid="{23D39166-BD19-4D2A-8C64-E925FC60859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59" authorId="0" shapeId="0" xr:uid="{EBCAAE34-3124-4F17-B3B6-83E62C21B7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59" authorId="0" shapeId="0" xr:uid="{D26FD835-102B-4139-A0AC-5C7EA039BD5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59" authorId="0" shapeId="0" xr:uid="{9873A41E-C87F-48BB-974C-A9C687297DF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59" authorId="0" shapeId="0" xr:uid="{71C8BC93-E06B-47E4-8690-C4EAD95DB9A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59" authorId="0" shapeId="0" xr:uid="{F3BB5A77-260C-4393-81E8-31E843B877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59" authorId="0" shapeId="0" xr:uid="{445DF8FC-3F9D-4AE7-AD94-6B01B1B6065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59" authorId="0" shapeId="0" xr:uid="{888277D2-8DBD-4303-A27B-F2CE6100157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59" authorId="0" shapeId="0" xr:uid="{EB9F1975-B708-40CE-B2C9-8E992F70B9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0" authorId="0" shapeId="0" xr:uid="{A123AAC9-A4F2-4EB8-8949-09EFAA4A3E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0" authorId="0" shapeId="0" xr:uid="{DD5ED578-7FA0-49FC-B46D-36997CAB9AE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0" authorId="0" shapeId="0" xr:uid="{C9E58580-5493-447B-BFDC-D15AC2F928F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0" authorId="0" shapeId="0" xr:uid="{170ABA49-0FCA-4DC3-B3AB-58DD36D93B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0" authorId="0" shapeId="0" xr:uid="{29E16FAE-37CF-4C85-9421-17C73204E4F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0" authorId="0" shapeId="0" xr:uid="{60E0A79F-F259-4A27-B3AA-94B701C540E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0" authorId="0" shapeId="0" xr:uid="{5E825AB5-274D-40EC-9896-F283E9BB2D7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0" authorId="0" shapeId="0" xr:uid="{D9FF0CB4-4D5D-4729-9FCE-11C7B3B1E2E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0" authorId="0" shapeId="0" xr:uid="{1365E07E-CB0A-4BD1-A577-BA110273D01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0" authorId="0" shapeId="0" xr:uid="{A795B999-5D04-4F58-A981-CCA35940A3B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0" authorId="0" shapeId="0" xr:uid="{CBF6370B-7F11-48CB-B349-AA82A81AD61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1" authorId="0" shapeId="0" xr:uid="{DC40D5B5-BE72-4021-A031-43ACD8E4540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1" authorId="0" shapeId="0" xr:uid="{0BC2A002-8FE1-47F2-A6C3-382534014D8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1" authorId="0" shapeId="0" xr:uid="{E9A26A39-9D2E-4E72-B831-9ECC380B94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1" authorId="0" shapeId="0" xr:uid="{88526D45-2FF6-4854-B2A5-A2A5455A64A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1" authorId="0" shapeId="0" xr:uid="{75861AA5-0DFC-4317-BD74-09DF1D5C889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1" authorId="0" shapeId="0" xr:uid="{F0EE4190-4B2C-4270-94E9-54C763488E8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1" authorId="0" shapeId="0" xr:uid="{C37CD028-1898-4733-A9BC-948C373332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1" authorId="0" shapeId="0" xr:uid="{AA71FCE6-3FAA-4864-B073-84FB4F15443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1" authorId="0" shapeId="0" xr:uid="{A9BD3605-4416-47DE-9619-8245CDE590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1" authorId="0" shapeId="0" xr:uid="{18048501-9568-457A-B603-97A1DE68741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1" authorId="0" shapeId="0" xr:uid="{307AEE3D-1ADF-49D6-86E9-CDBE2D9CBF5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2" authorId="0" shapeId="0" xr:uid="{A841630B-94C8-4533-BFF0-71A6D0BC40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2" authorId="0" shapeId="0" xr:uid="{BBFEED91-D859-4AC5-A110-126165A1640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2" authorId="0" shapeId="0" xr:uid="{4A342E4B-DB8E-4118-8D7C-85C6F07B990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2" authorId="0" shapeId="0" xr:uid="{17B70001-F57F-4EBC-BFE6-F4ADE768250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2" authorId="0" shapeId="0" xr:uid="{BF536294-B574-49CB-B37C-C425F192C23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2" authorId="0" shapeId="0" xr:uid="{2480FAAF-D69F-41F4-992C-2ED8146F7B2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2" authorId="0" shapeId="0" xr:uid="{315B34D1-FAD7-4553-8892-A30FCFC891C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2" authorId="0" shapeId="0" xr:uid="{D96FE8B5-2522-4922-BC31-1011F90547C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2" authorId="0" shapeId="0" xr:uid="{A7F560B4-88F5-4634-94CB-7D3040B5CC5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2" authorId="0" shapeId="0" xr:uid="{2F082DF2-88F5-4F5B-A2C0-7B47061D96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2" authorId="0" shapeId="0" xr:uid="{C674613E-B4A7-4A42-A674-ABFE70461D1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3" authorId="0" shapeId="0" xr:uid="{9D4A3036-1F56-451D-A3B6-0EC6E1D1E8D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63" authorId="0" shapeId="0" xr:uid="{60194A0C-6B17-458F-B573-28BCD425777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63" authorId="0" shapeId="0" xr:uid="{092FFD4D-535C-46BD-827E-79CC005AAD7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63" authorId="0" shapeId="0" xr:uid="{FA7FF314-CE26-4083-84AD-8C17693730F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63" authorId="0" shapeId="0" xr:uid="{E7466AFB-B181-4634-955D-E40C7F3199E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63" authorId="0" shapeId="0" xr:uid="{F80BF1D3-81EF-402D-B0DC-984D5DFB104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63" authorId="0" shapeId="0" xr:uid="{22B58640-4C31-4BD3-9192-2C7C45B54A7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63" authorId="0" shapeId="0" xr:uid="{F4318EC4-2AF1-463D-ACF2-EC808880C4C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63" authorId="0" shapeId="0" xr:uid="{A276AD9D-D338-4815-9B8B-BB593EB86B5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63" authorId="0" shapeId="0" xr:uid="{6CFD514E-0A8A-4BFF-8568-07BF016B4C2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63" authorId="0" shapeId="0" xr:uid="{278A01A4-7A3C-4139-A8A5-88027713002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4" authorId="0" shapeId="0" xr:uid="{1F544D49-09AE-4D9E-A84D-A346D91AC85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4" authorId="0" shapeId="0" xr:uid="{3C1A3E2F-7373-4226-8436-948336946E2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4" authorId="0" shapeId="0" xr:uid="{DE9BA587-5C90-4D5D-A48B-4CA5916FF35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4" authorId="0" shapeId="0" xr:uid="{207CD87E-3FE7-49A9-B329-A94DFEF068E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4" authorId="0" shapeId="0" xr:uid="{F42EA20A-BC99-445C-A82A-6204F954320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4" authorId="0" shapeId="0" xr:uid="{C7813B15-7626-4773-A2D0-9FE91A6729D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4" authorId="0" shapeId="0" xr:uid="{3BAC6CDF-E08E-43FD-BCA9-43ABD42DDF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4" authorId="0" shapeId="0" xr:uid="{67AF5C87-69EA-4BED-BA7A-E9E32B7433A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4" authorId="0" shapeId="0" xr:uid="{2E05B0F2-8E26-44F5-BB17-5481026F988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4" authorId="0" shapeId="0" xr:uid="{6DFF8223-B810-48A9-BFFB-ECD168A20FB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4" authorId="0" shapeId="0" xr:uid="{FDEF1A31-E76D-460C-8310-B436AFF8E5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5" authorId="0" shapeId="0" xr:uid="{E72CA054-1244-4C2F-9D6F-CFD71359F65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5" authorId="0" shapeId="0" xr:uid="{9C56D605-FDF0-432B-9E19-D09147E3723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5" authorId="0" shapeId="0" xr:uid="{EE8C720C-6AB4-4A49-B937-A1CA0A6F2C7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5" authorId="0" shapeId="0" xr:uid="{539525AC-74F3-4A32-95CB-E73DF3BFBC8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5" authorId="0" shapeId="0" xr:uid="{5E294E83-11EC-4173-B91B-DD01568EB80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5" authorId="0" shapeId="0" xr:uid="{81CF76C2-F488-4497-B63B-4F07762E2D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5" authorId="0" shapeId="0" xr:uid="{1EA072AA-9606-4052-9722-D8FD815A620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5" authorId="0" shapeId="0" xr:uid="{00B033E5-73FE-4086-AC31-280AF67729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5" authorId="0" shapeId="0" xr:uid="{1CC480DB-C7E1-444D-A5D8-7140FB94B7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5" authorId="0" shapeId="0" xr:uid="{0CA38256-88C9-43B2-AAAD-E1F27E82013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5" authorId="0" shapeId="0" xr:uid="{DC0DCE39-D1DC-49E5-8F86-4991711B22C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6" authorId="0" shapeId="0" xr:uid="{09CFF55A-624F-4874-89F5-2BF8B41E54C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6" authorId="0" shapeId="0" xr:uid="{37FBBB23-26F6-48E3-A71D-B50E09667C8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6" authorId="0" shapeId="0" xr:uid="{152E08D6-B61F-44E0-A418-B3C46A4E2D7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6" authorId="0" shapeId="0" xr:uid="{5D4BBF4D-E543-4B05-9DFC-23C1CB29316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6" authorId="0" shapeId="0" xr:uid="{927CAEFD-6EF6-47A0-B62F-BABE0567DF3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6" authorId="0" shapeId="0" xr:uid="{98020C76-F4E3-48A2-8F97-AF1D85A0A77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6" authorId="0" shapeId="0" xr:uid="{9696F6BB-638C-4299-B9C6-E18797A45F9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6" authorId="0" shapeId="0" xr:uid="{728BCEE5-33D4-4799-993E-57E21D91D1D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6" authorId="0" shapeId="0" xr:uid="{3793C83F-B7B7-44B7-B135-F426560E2AA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6" authorId="0" shapeId="0" xr:uid="{B9A5EE2D-D1E4-412C-8534-19802D0D714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6" authorId="0" shapeId="0" xr:uid="{D29495BC-54AA-41B9-A49C-BCC31BD7AFB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7" authorId="0" shapeId="0" xr:uid="{57B49D96-4469-4AC7-9C97-5D4BD55DDD9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7" authorId="0" shapeId="0" xr:uid="{76D86E8B-B3C6-413C-9E52-F484F23D209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7" authorId="0" shapeId="0" xr:uid="{2D1838CF-D8CA-4D11-933D-0197D487114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7" authorId="0" shapeId="0" xr:uid="{2B922B18-56D9-4FF3-A6B3-C1609D1A2EA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7" authorId="0" shapeId="0" xr:uid="{369C5A00-5305-4527-9D71-44616ABB3FF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7" authorId="0" shapeId="0" xr:uid="{ADF45220-5B03-41F3-AF66-F1F9F6A066E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7" authorId="0" shapeId="0" xr:uid="{0B704D0F-0BFC-4FFA-9EEA-49D45F830B0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7" authorId="0" shapeId="0" xr:uid="{65F9363C-68BC-43D8-A81E-1E567296E2F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7" authorId="0" shapeId="0" xr:uid="{4103DFD5-7847-417A-8056-9E0608CA3A2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7" authorId="0" shapeId="0" xr:uid="{93CF0170-0EFA-4CED-8899-F3298486051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7" authorId="0" shapeId="0" xr:uid="{5ABE629D-BC18-4AC8-AE78-58990D58ECC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8" authorId="0" shapeId="0" xr:uid="{A25EB767-85E5-4121-9F7A-D96B09FE2CF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8" authorId="0" shapeId="0" xr:uid="{4D7B8758-1A69-4BD8-82E8-F4CFFDBA69E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8" authorId="0" shapeId="0" xr:uid="{6A6A69FD-04AC-45F5-8A63-F506BCFB270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8" authorId="0" shapeId="0" xr:uid="{A002E797-D2B0-45EA-8C7F-2F43B4546E2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8" authorId="0" shapeId="0" xr:uid="{4016EB16-47B9-44C5-AEB7-B4BF59AE371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8" authorId="0" shapeId="0" xr:uid="{599A0417-F29E-443D-A175-0A22D190F84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8" authorId="0" shapeId="0" xr:uid="{18617201-6AD8-4E29-9374-FCCB2C9D0B9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8" authorId="0" shapeId="0" xr:uid="{77EB910B-ADCC-4C60-B1FE-B1CEAA1A39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8" authorId="0" shapeId="0" xr:uid="{C60125F9-EB40-4EC2-946A-F6615DE40DF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8" authorId="0" shapeId="0" xr:uid="{0936E20E-E58A-4D11-BF62-0E468699BD5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8" authorId="0" shapeId="0" xr:uid="{31C72B86-5155-4028-91B6-DD957E67E55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69" authorId="0" shapeId="0" xr:uid="{AD5D8B0C-4B58-4CEA-B4A7-90F2171EE1A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69" authorId="0" shapeId="0" xr:uid="{2F0A3D59-1675-44D7-A608-826817E617C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69" authorId="0" shapeId="0" xr:uid="{BB3D1227-6604-4F0F-821F-814C8900475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69" authorId="0" shapeId="0" xr:uid="{AC1C4D2B-F8F8-4386-9C12-61F5D740A10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69" authorId="0" shapeId="0" xr:uid="{112B8F49-DC5C-47F8-9A5B-8D67DE9386B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69" authorId="0" shapeId="0" xr:uid="{AB850E9D-2B08-4ECB-AA5C-18D95C15A65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69" authorId="0" shapeId="0" xr:uid="{2D5083A7-565C-4A48-9E40-EF01894BD23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69" authorId="0" shapeId="0" xr:uid="{EFD367C3-F7F1-403D-BDEB-C1763FA7700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69" authorId="0" shapeId="0" xr:uid="{C80CB2C6-EBA7-42B5-AD00-E5441A755D5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69" authorId="0" shapeId="0" xr:uid="{A98CE10F-CBB9-4399-B199-4A69D7394F9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69" authorId="0" shapeId="0" xr:uid="{52C06A01-33FC-488B-AF3E-8C753C15654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0" authorId="0" shapeId="0" xr:uid="{C3366346-C4C3-46CB-802B-FAAEBE3F2A8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0" authorId="0" shapeId="0" xr:uid="{04B5F2E8-D3D5-4C44-8635-85CE6EE109E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0" authorId="0" shapeId="0" xr:uid="{4C64D30D-7A59-41B8-8F16-52CB50EEB8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0" authorId="0" shapeId="0" xr:uid="{8191CBF7-841F-4ECF-9F00-761899D3ACD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0" authorId="0" shapeId="0" xr:uid="{1383D6E8-17DF-40DF-8AF8-A1EC321E826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0" authorId="0" shapeId="0" xr:uid="{B5621485-9815-4BE3-841B-6F7D3B3029E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0" authorId="0" shapeId="0" xr:uid="{88AD579B-CF7A-4919-BB06-B0B10F46C69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0" authorId="0" shapeId="0" xr:uid="{1B60B229-AF6A-48EC-9670-F74E97F0872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0" authorId="0" shapeId="0" xr:uid="{D0E8C8BC-B2E4-4D52-B842-891CF0F08E0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0" authorId="0" shapeId="0" xr:uid="{4B0639C9-70C4-4E3C-B631-939C785ED6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0" authorId="0" shapeId="0" xr:uid="{F9825B35-6449-4F85-8592-85B4C98D50F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1" authorId="0" shapeId="0" xr:uid="{F15F5F7D-42F2-4D27-BEA0-6BD1BB7F61B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1" authorId="0" shapeId="0" xr:uid="{5F329CFD-BA1A-4448-BD8F-CDECF5915E6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1" authorId="0" shapeId="0" xr:uid="{1BEC2558-FF1B-4146-A641-3C65D4B7E2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1" authorId="0" shapeId="0" xr:uid="{96BED173-E4BA-432C-BEE9-2C2BB272214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1" authorId="0" shapeId="0" xr:uid="{3425D3AC-E767-4224-8F74-9432500BCE0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1" authorId="0" shapeId="0" xr:uid="{2336BE6A-BC1E-4365-97AF-A4CA9F20A94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1" authorId="0" shapeId="0" xr:uid="{58567269-FD83-4214-90FA-20CF7DAA15D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1" authorId="0" shapeId="0" xr:uid="{CF88EBF9-5521-439B-B79B-39641802DA7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1" authorId="0" shapeId="0" xr:uid="{CB240D4B-FC98-44D3-B255-4311B7B40BF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1" authorId="0" shapeId="0" xr:uid="{E10B0C89-CC2E-4CC8-9C27-FB100C86A92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1" authorId="0" shapeId="0" xr:uid="{9AE86C25-DD27-444F-8422-95549448D3C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4" authorId="0" shapeId="0" xr:uid="{C5BC364B-53E5-43FF-9ECC-0123FFD375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4" authorId="0" shapeId="0" xr:uid="{EC64746B-2B69-4448-B43B-11E48B018DA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4" authorId="0" shapeId="0" xr:uid="{58B5F1BA-21DD-4198-845E-B8E439B2863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4" authorId="0" shapeId="0" xr:uid="{2D7ED1FE-182B-4DE8-B418-A71FC3038AD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4" authorId="0" shapeId="0" xr:uid="{51A8B7A3-C239-4F44-ABFC-F891E27781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4" authorId="0" shapeId="0" xr:uid="{F2DB403F-86B4-47D3-86DB-3E1D4581EB7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4" authorId="0" shapeId="0" xr:uid="{6A2631A8-47D1-4775-AF90-5A412796E40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4" authorId="0" shapeId="0" xr:uid="{558C103E-A8E6-4475-936A-E8E55B976D6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4" authorId="0" shapeId="0" xr:uid="{CCA3426C-DB0C-4BA9-91E9-788D655DB14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4" authorId="0" shapeId="0" xr:uid="{DBF58E1B-1E1A-4650-A10B-1032808C38F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4" authorId="0" shapeId="0" xr:uid="{4465313B-EB0E-429B-90A7-418A1CC0AB3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5" authorId="0" shapeId="0" xr:uid="{AC3B7B4B-A2FE-403C-8F8B-7B7567B9EF2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5" authorId="0" shapeId="0" xr:uid="{84CF5E7E-0EAD-44A7-808B-610AA15A627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5" authorId="0" shapeId="0" xr:uid="{70363072-5D8E-470D-A8E1-045FD649DC0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5" authorId="0" shapeId="0" xr:uid="{146E013E-7C2B-4FCC-A81E-B8C151F6128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5" authorId="0" shapeId="0" xr:uid="{B7A2C283-5049-4111-98B3-477D127B30A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5" authorId="0" shapeId="0" xr:uid="{2CBCD051-1CE5-4AF5-A07B-250B276F721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5" authorId="0" shapeId="0" xr:uid="{37E18250-6B5E-468B-8161-E9BA3FC708F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5" authorId="0" shapeId="0" xr:uid="{9BDD1BB6-5394-477F-8FEA-22667FE82F7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5" authorId="0" shapeId="0" xr:uid="{56977C86-62F5-402A-9C95-6E1E30057B4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5" authorId="0" shapeId="0" xr:uid="{5A3AB5BD-DF8E-408D-9205-32A7266E3F4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5" authorId="0" shapeId="0" xr:uid="{BE9480B5-01F7-4BDC-A712-7F805C04B02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6" authorId="0" shapeId="0" xr:uid="{49ADFF3A-97A7-490D-86E9-9093F5CF6A8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6" authorId="0" shapeId="0" xr:uid="{14AFC2F1-BDDC-4A8A-8FE3-00C00D70DAD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6" authorId="0" shapeId="0" xr:uid="{071CD412-DB13-42A2-8E67-939D39A64AF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6" authorId="0" shapeId="0" xr:uid="{D2B84572-DDCB-4D6D-93FA-D8E17E587B3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6" authorId="0" shapeId="0" xr:uid="{9220157D-7A5E-4577-9F0B-136F4006DB6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6" authorId="0" shapeId="0" xr:uid="{4B9723EB-CB17-46B9-A479-AF3189DD670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6" authorId="0" shapeId="0" xr:uid="{9CDE9DC5-0235-4FE7-B474-132556909D2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6" authorId="0" shapeId="0" xr:uid="{44C1880E-B0C8-4C8A-8B68-A21569EDC86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6" authorId="0" shapeId="0" xr:uid="{D99B8E29-FEE6-4408-92AE-03A87895595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6" authorId="0" shapeId="0" xr:uid="{1E2E6B62-AC9C-430F-A997-E5B371E919F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6" authorId="0" shapeId="0" xr:uid="{C5794376-6277-438B-A4FE-3FD60C4651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7" authorId="0" shapeId="0" xr:uid="{05C69B75-D3F7-449B-A98F-48667CB04A5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7" authorId="0" shapeId="0" xr:uid="{8CCE6271-78A8-49A9-9FA6-2BC09AF85D9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7" authorId="0" shapeId="0" xr:uid="{6602C631-CB82-48AA-ABD9-88F8427A0E8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7" authorId="0" shapeId="0" xr:uid="{83136BE4-775B-441E-95C2-5FC372E584D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7" authorId="0" shapeId="0" xr:uid="{2D64B4D3-80DF-4233-B345-D1EB2F177AE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7" authorId="0" shapeId="0" xr:uid="{76AD6C20-EB9B-4299-B8D1-9A4590C8FF9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7" authorId="0" shapeId="0" xr:uid="{F9E33FDE-29A2-41EA-B028-2BBC0014F8C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7" authorId="0" shapeId="0" xr:uid="{0BD8FEB7-FB4A-456F-9B76-66D98C6D394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7" authorId="0" shapeId="0" xr:uid="{345BE642-0CD6-4493-B33A-E13E321F7AC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7" authorId="0" shapeId="0" xr:uid="{EDAC82AF-9252-4710-831C-E203367079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7" authorId="0" shapeId="0" xr:uid="{C1A11E52-F9A0-4D1D-B50E-28858349078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8" authorId="0" shapeId="0" xr:uid="{5E815FCF-E17A-4609-AEF5-AB880EE41E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8" authorId="0" shapeId="0" xr:uid="{2F301C9D-346C-4AD5-883B-83A8C1424D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8" authorId="0" shapeId="0" xr:uid="{7DB3B86D-E298-4481-AA3A-64796A70139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8" authorId="0" shapeId="0" xr:uid="{08D0770D-9E12-4536-945D-5B56CE976E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8" authorId="0" shapeId="0" xr:uid="{D96E1625-5492-4566-9BB9-12D212DAF8A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8" authorId="0" shapeId="0" xr:uid="{85162C63-B362-48D0-9319-88119645B90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8" authorId="0" shapeId="0" xr:uid="{026D6BB7-D5F2-4996-A5AE-368D1D0907C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8" authorId="0" shapeId="0" xr:uid="{8D977947-92F3-4952-9B54-CE3C609143F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8" authorId="0" shapeId="0" xr:uid="{CA2B33B7-2D25-45BF-A1C7-8EB2030C2A4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8" authorId="0" shapeId="0" xr:uid="{7F410F21-7E0C-4068-B6BF-C7582D8C80A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8" authorId="0" shapeId="0" xr:uid="{11F7A151-3E3C-44DB-B5A6-C30A9E41DFC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79" authorId="0" shapeId="0" xr:uid="{FFF23B85-FD79-4090-BBBA-153CC81A921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79" authorId="0" shapeId="0" xr:uid="{73D12410-BB73-4416-88F1-20484A4433B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79" authorId="0" shapeId="0" xr:uid="{23A9D354-42EC-4EF2-8E31-33C91328B4F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79" authorId="0" shapeId="0" xr:uid="{057D5396-47CE-4232-AE3A-D6E027FA68F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79" authorId="0" shapeId="0" xr:uid="{5DECA566-D243-4856-815A-BE9F819D36C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79" authorId="0" shapeId="0" xr:uid="{2CF1E35F-F706-42CC-B310-E3A3A980EE7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79" authorId="0" shapeId="0" xr:uid="{7C1D61DC-2B72-47B8-BE29-B389626D231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79" authorId="0" shapeId="0" xr:uid="{881A3966-2CDE-4741-A9D3-D12474E2119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79" authorId="0" shapeId="0" xr:uid="{378D817E-C77A-4AD8-BB08-BD7339D5E01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79" authorId="0" shapeId="0" xr:uid="{4642377C-B902-4C3E-9B96-ED30F2E46CC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79" authorId="0" shapeId="0" xr:uid="{9494C625-D5D8-4678-8C9F-2BB03E93D2D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0" authorId="0" shapeId="0" xr:uid="{4C86E8DB-6CD5-4651-8B2B-142169A2F49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0" authorId="0" shapeId="0" xr:uid="{3BDC1A59-57FC-4EA9-8E88-7B01E7EACC8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0" authorId="0" shapeId="0" xr:uid="{CE4D2560-F1A7-4B30-BD0E-6413A764F3B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0" authorId="0" shapeId="0" xr:uid="{E99F6DCD-03C1-4B30-9ECF-C5B978BB067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0" authorId="0" shapeId="0" xr:uid="{C9CBBE06-CB3B-438B-AD64-1F5F8F45C09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0" authorId="0" shapeId="0" xr:uid="{578BAB3D-21E4-42D6-BA90-D1644AD8DEB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0" authorId="0" shapeId="0" xr:uid="{9EB1024F-7215-4EC1-9DD3-AB74D857E85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0" authorId="0" shapeId="0" xr:uid="{C084E097-2397-4AAD-B897-ACC39F9BB81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0" authorId="0" shapeId="0" xr:uid="{C44AC633-203D-492B-A628-B858C3E1A42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0" authorId="0" shapeId="0" xr:uid="{E8C4AB12-C342-4BF1-8C42-36B5AA77FD7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0" authorId="0" shapeId="0" xr:uid="{63BE5C5D-4918-4C5D-BB10-3992474BFB9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1" authorId="0" shapeId="0" xr:uid="{4A6860D7-C26E-4989-89E7-3C8813A7A35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1" authorId="0" shapeId="0" xr:uid="{6131EED4-FE80-4ADB-9D18-974776F86B8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1" authorId="0" shapeId="0" xr:uid="{AC3FC7A0-88CD-43D8-8CAA-AFE7E254EE8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1" authorId="0" shapeId="0" xr:uid="{6B5BD105-FC33-4312-B9AE-204B2B9014F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1" authorId="0" shapeId="0" xr:uid="{EA4F72E1-A69B-4016-A897-01E0E7D80E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1" authorId="0" shapeId="0" xr:uid="{0DB11618-3E20-450C-B040-E921C6BA626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1" authorId="0" shapeId="0" xr:uid="{EECE9C0A-3920-4834-A818-8BA1153836C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1" authorId="0" shapeId="0" xr:uid="{344B163D-9447-495E-95CD-DB6800FF249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1" authorId="0" shapeId="0" xr:uid="{FEEB0BE1-2710-4828-929D-0FCB5393EEF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1" authorId="0" shapeId="0" xr:uid="{7F971728-1554-493A-87C0-0B713A6D8E4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1" authorId="0" shapeId="0" xr:uid="{D3306901-9A24-477F-A874-D6B29DE7D51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2" authorId="0" shapeId="0" xr:uid="{4A9A032D-4FA8-4BEF-A57A-19B99A9BC5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2" authorId="0" shapeId="0" xr:uid="{CE16AD85-06DB-4CC0-9450-0B6CF980B08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2" authorId="0" shapeId="0" xr:uid="{CACF4AE4-6E57-46C7-B63C-5A192F39AC1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2" authorId="0" shapeId="0" xr:uid="{B20EB765-A06E-4583-99DC-7ED7FDA4932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2" authorId="0" shapeId="0" xr:uid="{770FB176-6A3B-4681-A0B2-A17F5D0BD7C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2" authorId="0" shapeId="0" xr:uid="{E512DDFC-6535-4845-8DAC-AF546478933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2" authorId="0" shapeId="0" xr:uid="{3E06E9EA-A45B-491E-815F-013307DB860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2" authorId="0" shapeId="0" xr:uid="{9C723459-8A9C-468F-8558-4265AF36BF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2" authorId="0" shapeId="0" xr:uid="{6974AF14-8D94-4335-8EBC-6AAD46AEAE2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2" authorId="0" shapeId="0" xr:uid="{AE6C922A-83C4-4288-B703-62638F85072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2" authorId="0" shapeId="0" xr:uid="{A840218A-19C9-4CC0-849A-8C6D5FDB94E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3" authorId="0" shapeId="0" xr:uid="{85A0D930-4C10-48C4-B4B3-36E804DD527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3" authorId="0" shapeId="0" xr:uid="{6CAF9179-0753-4AE8-B773-695B176D1C5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3" authorId="0" shapeId="0" xr:uid="{2089806D-33CD-4608-9A16-1FB9B7FFDFF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3" authorId="0" shapeId="0" xr:uid="{31906E71-2238-413D-8FCE-CD778174599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3" authorId="0" shapeId="0" xr:uid="{2A941B50-C044-48FB-A5C3-0AEC4B2F34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3" authorId="0" shapeId="0" xr:uid="{A34E2C22-7EE0-4622-AF14-9E0FCA49A83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3" authorId="0" shapeId="0" xr:uid="{AA6C7142-21B4-4261-B15D-6423ADC365C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3" authorId="0" shapeId="0" xr:uid="{7CB1D527-1908-4CF6-9F1C-6A5E1E95224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3" authorId="0" shapeId="0" xr:uid="{B254DA58-1BBC-4486-8A9A-4D695B98442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3" authorId="0" shapeId="0" xr:uid="{0C3329DA-33A4-4394-8907-FF29BFB08DE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3" authorId="0" shapeId="0" xr:uid="{525C375E-B067-4044-B1D1-0A348EDD59C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4" authorId="0" shapeId="0" xr:uid="{1BAF3DED-9577-44CC-ACC7-21B14B9FC34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4" authorId="0" shapeId="0" xr:uid="{81B067C2-E076-4F40-B9BD-36954402F1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4" authorId="0" shapeId="0" xr:uid="{D95E9AC7-414B-4EEE-8E94-F57B2DD3AE8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4" authorId="0" shapeId="0" xr:uid="{C0BC73FA-16B9-4696-8CE8-1F190D9E6DD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4" authorId="0" shapeId="0" xr:uid="{D5C16266-7BD2-47DE-9686-1221409B82E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4" authorId="0" shapeId="0" xr:uid="{135B8434-5463-4963-BCBC-951F17E31E3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4" authorId="0" shapeId="0" xr:uid="{52F040EA-0EB3-4CE4-9E77-F5798A53070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4" authorId="0" shapeId="0" xr:uid="{01AEE413-6E02-4B10-9012-B9056A6A9EC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4" authorId="0" shapeId="0" xr:uid="{DC165187-0B48-49DC-9FBA-9E5363FAB604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4" authorId="0" shapeId="0" xr:uid="{192750D8-45D7-423C-8195-3B646A01209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4" authorId="0" shapeId="0" xr:uid="{A530492D-E9BE-48FD-A323-C42DBCABFCD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5" authorId="0" shapeId="0" xr:uid="{B947A98A-9D7F-4D1F-9D01-F2D54DE1F6D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5" authorId="0" shapeId="0" xr:uid="{A73596B1-B05B-472F-B95B-0F91FBCC927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5" authorId="0" shapeId="0" xr:uid="{394162F3-BA28-4787-9C47-2BCC027CB6B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5" authorId="0" shapeId="0" xr:uid="{807BFE03-D59E-41DE-8336-5E47D59597B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5" authorId="0" shapeId="0" xr:uid="{1E5B8D00-9BA9-4332-ACDF-099171EBA79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5" authorId="0" shapeId="0" xr:uid="{4B6B0F57-C899-45A2-8E88-51E6C81F2A6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5" authorId="0" shapeId="0" xr:uid="{CB4A66DE-DD05-462F-8E7D-476029A00CE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5" authorId="0" shapeId="0" xr:uid="{2E20733E-FF6E-4C09-9228-F06B714450C8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5" authorId="0" shapeId="0" xr:uid="{88469DC5-C03A-4643-8011-5BE6E422B6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5" authorId="0" shapeId="0" xr:uid="{498889A2-17E1-4A02-BE29-035ED12F65F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5" authorId="0" shapeId="0" xr:uid="{3CAC48F8-513F-4D3E-982E-F00AE8B924A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6" authorId="0" shapeId="0" xr:uid="{D4C27DFB-10EA-41FB-B88E-2D3749D2C9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86" authorId="0" shapeId="0" xr:uid="{8CDDBCBA-BBA7-4D25-A418-533ED335DE5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86" authorId="0" shapeId="0" xr:uid="{EE2BE383-34FA-47E1-808B-D94E14CDB84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86" authorId="0" shapeId="0" xr:uid="{A281068F-28B7-498A-B803-725E7245E62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86" authorId="0" shapeId="0" xr:uid="{45470F05-8A7B-44BB-A625-C6A3D8CF423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86" authorId="0" shapeId="0" xr:uid="{6BA5CD0F-6331-4A38-9CC9-8A505DA92FF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86" authorId="0" shapeId="0" xr:uid="{E21A04EF-4165-40B8-AA2D-85335C164E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86" authorId="0" shapeId="0" xr:uid="{D91F73BA-D75B-488E-A119-2BD96B0E921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86" authorId="0" shapeId="0" xr:uid="{C38053C1-7D34-4972-ADAC-AB6514546C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86" authorId="0" shapeId="0" xr:uid="{DCAAAD1F-051F-47E9-B657-D3D5F43F74A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86" authorId="0" shapeId="0" xr:uid="{F2C28A81-0BCF-4951-A3E3-BA8A4E59670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7" authorId="0" shapeId="0" xr:uid="{06A1F742-55DE-4362-A17D-B9A810884FB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7" authorId="0" shapeId="0" xr:uid="{0FB0D5BF-BE79-4551-8DAE-409850C9D65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7" authorId="0" shapeId="0" xr:uid="{3356A6C8-BD77-448E-B253-9878A744C19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7" authorId="0" shapeId="0" xr:uid="{45E792D8-9BD7-4B9C-947B-282F9C3DE1D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7" authorId="0" shapeId="0" xr:uid="{0E54611B-D38D-4F80-90BB-2ED893FCC0D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7" authorId="0" shapeId="0" xr:uid="{4DDCF611-48C7-482D-86C6-E901F406190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7" authorId="0" shapeId="0" xr:uid="{8989BB20-BF89-489C-BFCD-284A6CCF06A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7" authorId="0" shapeId="0" xr:uid="{D7FDDAFF-7ED2-49FB-B816-710F6B19C6C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7" authorId="0" shapeId="0" xr:uid="{8CE486C1-B774-4FD8-A036-3A866EB342C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7" authorId="0" shapeId="0" xr:uid="{696EA331-F18A-4F9D-B648-D71EB5BA053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7" authorId="0" shapeId="0" xr:uid="{78138A3A-FBD1-4CE0-A7B7-E6C753E9849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8" authorId="0" shapeId="0" xr:uid="{446A0FE9-3753-4893-9D96-284C0DFD78B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8" authorId="0" shapeId="0" xr:uid="{948C222D-BFA3-409D-9DD7-DA2C9E93C9C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8" authorId="0" shapeId="0" xr:uid="{82395CD2-6CF0-463D-9229-94558EA523E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8" authorId="0" shapeId="0" xr:uid="{4FDBB839-7100-418D-BE4B-FBAAB3025D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8" authorId="0" shapeId="0" xr:uid="{19EEA0DB-428E-4FC7-8376-3012D69DBBA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8" authorId="0" shapeId="0" xr:uid="{BBD27438-08D1-48E9-9D68-613B33FB75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8" authorId="0" shapeId="0" xr:uid="{4FC8A78D-2866-44E3-80D5-FADEF27CD7B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8" authorId="0" shapeId="0" xr:uid="{0AC48A3F-7480-4468-855E-6A2CFF4F367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8" authorId="0" shapeId="0" xr:uid="{7B9545C8-1283-4402-8AAA-125CE290D2D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8" authorId="0" shapeId="0" xr:uid="{49774A7A-A7BB-40AA-BCCD-0ED1B4BDF72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8" authorId="0" shapeId="0" xr:uid="{38E973AF-A850-4A40-9283-B2EDCF71D34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89" authorId="0" shapeId="0" xr:uid="{7E9421A5-729A-425A-990E-68DD016F859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89" authorId="0" shapeId="0" xr:uid="{8C53C8BE-F0A1-45C0-8216-982A62C057E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89" authorId="0" shapeId="0" xr:uid="{AB3A5B7A-9587-4CFC-8E61-633E0D775E2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89" authorId="0" shapeId="0" xr:uid="{80FA3DAF-88FC-4C61-9FE5-984D6CEF815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89" authorId="0" shapeId="0" xr:uid="{1E75DF35-67AB-47A5-975E-F66397AAE66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89" authorId="0" shapeId="0" xr:uid="{430B3FE9-2B87-4775-8B2E-7653E5A4D3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89" authorId="0" shapeId="0" xr:uid="{1F4CAC7B-6B63-4F9A-8EB9-2E75841A961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89" authorId="0" shapeId="0" xr:uid="{C5DCF378-B043-429D-9526-978F64435ED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89" authorId="0" shapeId="0" xr:uid="{381B41AC-C771-42A4-BEC8-75AB90E38B1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89" authorId="0" shapeId="0" xr:uid="{447A1BEA-2518-4550-82D0-5B78D2B271B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89" authorId="0" shapeId="0" xr:uid="{E3A188D6-5174-45B6-97BC-0BEE6D79388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0" authorId="0" shapeId="0" xr:uid="{4AFECCA2-EF61-4077-8F66-1F4DDD8AB1A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0" authorId="0" shapeId="0" xr:uid="{3C24828D-518B-4A54-A09A-D6AC754AF6D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0" authorId="0" shapeId="0" xr:uid="{E3B551DA-6C0B-41F8-9DBE-59B28E66139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0" authorId="0" shapeId="0" xr:uid="{0A468782-6A73-459B-B81E-057A11EE56A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0" authorId="0" shapeId="0" xr:uid="{9527FB13-20F2-42FF-B622-E7C98473914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0" authorId="0" shapeId="0" xr:uid="{FC6EB9B2-B5F6-4B18-A855-ED7CBF4B7C3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0" authorId="0" shapeId="0" xr:uid="{F18DF401-CE9C-46C7-9880-748DFA4AE6A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0" authorId="0" shapeId="0" xr:uid="{562FAEF0-3885-43EB-8382-9EB64C8ECF9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0" authorId="0" shapeId="0" xr:uid="{1C3540AD-07A9-40C9-B104-73AC95AAD58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0" authorId="0" shapeId="0" xr:uid="{D69F4406-DBB2-4451-AB69-9134E42F693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0" authorId="0" shapeId="0" xr:uid="{4B6D659A-BE33-41DF-8A0B-5010FB083BE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1" authorId="0" shapeId="0" xr:uid="{CACE1CF4-CA5C-4691-A67F-86300C30FDF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1" authorId="0" shapeId="0" xr:uid="{627177A4-F32C-4CA7-A8FE-192953E14E2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1" authorId="0" shapeId="0" xr:uid="{EBC6F172-8AC2-4B93-A816-8B8B2C5ABFE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1" authorId="0" shapeId="0" xr:uid="{56D08997-1CC8-4B12-B4D0-B584FE3D5B4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1" authorId="0" shapeId="0" xr:uid="{455A964C-988B-4BFD-9D98-E6FDA8456E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1" authorId="0" shapeId="0" xr:uid="{4D784C09-2558-4D80-A7DA-6D24D5794F9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1" authorId="0" shapeId="0" xr:uid="{1113F45D-04B0-4A28-A466-53E868CB98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1" authorId="0" shapeId="0" xr:uid="{4AA9D764-8DBC-49C6-9E4E-B94F389F070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1" authorId="0" shapeId="0" xr:uid="{A5F100D4-415D-449D-B4A8-4223DA1F31F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1" authorId="0" shapeId="0" xr:uid="{71763D93-4827-45DD-9690-AAB1173D047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1" authorId="0" shapeId="0" xr:uid="{B9FBD71F-E0E9-43E1-A4C7-8A5307D493C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2" authorId="0" shapeId="0" xr:uid="{46A0C8DB-2B18-4266-A864-6F510F53D90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2" authorId="0" shapeId="0" xr:uid="{8D808AB6-F11F-4A8B-8B70-FB7244A77E5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2" authorId="0" shapeId="0" xr:uid="{00978574-6867-4943-898F-5AB23598DE7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2" authorId="0" shapeId="0" xr:uid="{964AA373-80E5-43C7-9A7A-CD254DE88D1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2" authorId="0" shapeId="0" xr:uid="{50F446A4-4E31-47B1-90C8-AB85FCA8505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2" authorId="0" shapeId="0" xr:uid="{E27ADCD3-4DD1-47F1-9EE0-C17B3B168F0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2" authorId="0" shapeId="0" xr:uid="{14AC6DA4-AC1E-49EE-BC5E-BBCDC914B01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2" authorId="0" shapeId="0" xr:uid="{8A4571F6-58E6-49D2-AF02-C02A1BA8AFB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2" authorId="0" shapeId="0" xr:uid="{B0DD25A2-2A34-4F1E-982B-F7B9E5F77EC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2" authorId="0" shapeId="0" xr:uid="{FDA53087-51C0-439C-A7F6-8DE6E926836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2" authorId="0" shapeId="0" xr:uid="{65DE2E24-17E6-4F13-BBA2-5F16AA87F9A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3" authorId="0" shapeId="0" xr:uid="{5243F30A-9D12-439F-94EF-F8F27D91D25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3" authorId="0" shapeId="0" xr:uid="{218E6947-B930-40C3-A32F-8ACD3C8F886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3" authorId="0" shapeId="0" xr:uid="{AC8341B5-BE41-4A90-94C6-81472E21914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3" authorId="0" shapeId="0" xr:uid="{11D90CFE-3864-485F-84DB-0D2577D94BB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3" authorId="0" shapeId="0" xr:uid="{3CAF3AC0-F9F8-4E07-BCA2-F25687127A1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3" authorId="0" shapeId="0" xr:uid="{7D9C4B4C-8FFC-4EE5-91A4-02FB08DC46D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3" authorId="0" shapeId="0" xr:uid="{5955A99F-7444-4608-80E4-CE16A7B7D73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3" authorId="0" shapeId="0" xr:uid="{3D8CC71A-68D6-42B3-B087-68438759331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3" authorId="0" shapeId="0" xr:uid="{0FD6B98C-5CAF-49C1-93DA-B97A0EA7761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3" authorId="0" shapeId="0" xr:uid="{57B8B9FA-EC6D-4728-888A-738FC8942BC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3" authorId="0" shapeId="0" xr:uid="{56307DD2-4878-4138-B559-A41061DDD4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4" authorId="0" shapeId="0" xr:uid="{971B0E5D-9769-4D86-8DFC-E9ECD5B3CA0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4" authorId="0" shapeId="0" xr:uid="{0041D527-7A2A-4A79-B515-FF46EA3B17A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4" authorId="0" shapeId="0" xr:uid="{49722D22-2184-4587-A24E-AAEC9226D31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4" authorId="0" shapeId="0" xr:uid="{7766D010-7D52-4E51-A752-F0AF4D31B7C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4" authorId="0" shapeId="0" xr:uid="{DDF838A3-B4AB-4B02-9BCB-BCAC45BA196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4" authorId="0" shapeId="0" xr:uid="{EE43E212-3AA1-45DC-89BB-B9AF5E3C404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4" authorId="0" shapeId="0" xr:uid="{6194D893-1E08-4A0D-877E-7EBD82A58E5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4" authorId="0" shapeId="0" xr:uid="{0C9A6D26-5342-4F11-9A1E-A3392A3DA30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4" authorId="0" shapeId="0" xr:uid="{51A3FE4F-9F39-44AC-91F8-C468C74D2D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4" authorId="0" shapeId="0" xr:uid="{C98F09FD-A2AA-4C1D-8CD3-84D79BBC931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4" authorId="0" shapeId="0" xr:uid="{7C3D6361-919A-4649-9D79-72FF04A2098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7" authorId="0" shapeId="0" xr:uid="{667B994B-C716-4DD1-BE89-FD142B310FA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7" authorId="0" shapeId="0" xr:uid="{034AEAB4-2E6F-41FB-9472-0A8E5E67E53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7" authorId="0" shapeId="0" xr:uid="{945CA823-632B-448B-B1F8-AC0162CFDE4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7" authorId="0" shapeId="0" xr:uid="{B74FBF75-1E1B-45D4-9A81-913EF9C29D3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7" authorId="0" shapeId="0" xr:uid="{8A190199-68B8-4AE9-9498-302E9132D75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7" authorId="0" shapeId="0" xr:uid="{2793C321-FCBE-4BF6-A0CB-CBECD1124CE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7" authorId="0" shapeId="0" xr:uid="{F239DECB-E109-4ED1-909E-AC07C2FD8D1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7" authorId="0" shapeId="0" xr:uid="{BD22DA48-CD24-406B-8A75-72A7D84803F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7" authorId="0" shapeId="0" xr:uid="{C80AFB4E-C922-42BE-A2F6-69F478B5A2A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7" authorId="0" shapeId="0" xr:uid="{93CF3F2C-E866-4C76-94A7-4C2F6883846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7" authorId="0" shapeId="0" xr:uid="{BF0197BA-B168-4BD8-8649-5351E660BC6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8" authorId="0" shapeId="0" xr:uid="{16FD64D9-07E6-4B28-BE4F-76A9431AA6C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8" authorId="0" shapeId="0" xr:uid="{BB9570A4-5405-4654-850D-DBA58029874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8" authorId="0" shapeId="0" xr:uid="{38AA735C-1B92-4A24-878A-5BAF8C50B6C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8" authorId="0" shapeId="0" xr:uid="{7D336FEC-D48A-4D60-AA7A-A49CF321F72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8" authorId="0" shapeId="0" xr:uid="{CA72988E-7198-4A58-A1B6-F0815BFA1CD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8" authorId="0" shapeId="0" xr:uid="{B2DFA182-C480-4706-9351-DCFF940D403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8" authorId="0" shapeId="0" xr:uid="{337A77A7-160C-47AF-A0F2-42EA9E1E5AC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8" authorId="0" shapeId="0" xr:uid="{1B070153-24AB-4F11-8ECB-CF345321205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8" authorId="0" shapeId="0" xr:uid="{CEBB24FA-90CF-42A8-A92E-A576153E557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8" authorId="0" shapeId="0" xr:uid="{2C7DB28E-C1B0-4D72-9E8B-CB2817BE1FA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8" authorId="0" shapeId="0" xr:uid="{DB000A83-A687-485F-8A06-05B028CECFE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99" authorId="0" shapeId="0" xr:uid="{EE378AD8-7B79-4704-A6BA-3A1F2FD9F3D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99" authorId="0" shapeId="0" xr:uid="{D78688DB-8739-437F-BAB5-F6241BDDF45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99" authorId="0" shapeId="0" xr:uid="{19CF7E27-77B1-4A1B-B14D-8AEC608C515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99" authorId="0" shapeId="0" xr:uid="{94A57518-C70E-410C-A662-24D3BC032EC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99" authorId="0" shapeId="0" xr:uid="{52011232-CE71-4EC9-BA9B-3A20AA5668B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99" authorId="0" shapeId="0" xr:uid="{8744B453-BD9E-4E51-8820-A2FBA15069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99" authorId="0" shapeId="0" xr:uid="{9D5AADB2-F25A-46DE-8098-0ED90DB1C68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99" authorId="0" shapeId="0" xr:uid="{6355EA09-BB72-4B43-AF8D-F786280E7A9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99" authorId="0" shapeId="0" xr:uid="{BCD757B9-3B99-4AB3-B5E8-182CEAAAA83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99" authorId="0" shapeId="0" xr:uid="{70CC2695-E143-4CCF-8AC2-03D98F60E1A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99" authorId="0" shapeId="0" xr:uid="{5CDF9CB7-F881-48BF-97D3-48AF2AC1554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0" authorId="0" shapeId="0" xr:uid="{F3F792FD-00AB-48CF-BC11-56A6E5C0905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0" authorId="0" shapeId="0" xr:uid="{823E2F26-E991-44B8-B629-CCA01A1F288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0" authorId="0" shapeId="0" xr:uid="{B2DEE21B-92D7-428B-A845-AE531F80953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0" authorId="0" shapeId="0" xr:uid="{72D81A1D-F786-477A-B163-A6E8E440EC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0" authorId="0" shapeId="0" xr:uid="{303D5A9C-9448-4BDF-891F-70B92FB3964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0" authorId="0" shapeId="0" xr:uid="{3BEACC3A-76A3-4A69-92B8-5979ABBC018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0" authorId="0" shapeId="0" xr:uid="{C0BB24F8-9222-43C7-8CCA-2A31E0157F5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0" authorId="0" shapeId="0" xr:uid="{EC76ED36-7867-42E2-A556-AC4D1141E76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0" authorId="0" shapeId="0" xr:uid="{6CBDD59F-5DD9-40DC-81FD-A78011F3D1F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0" authorId="0" shapeId="0" xr:uid="{C6CC97AD-861E-4D51-B0D4-EF8DE9C6DD3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0" authorId="0" shapeId="0" xr:uid="{E6580070-4C13-41C8-8A82-C1052B5066F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1" authorId="0" shapeId="0" xr:uid="{8A55A200-2C76-42F4-BCC4-19216726D96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1" authorId="0" shapeId="0" xr:uid="{189CF5E0-687E-40F5-A64D-17E10B7671A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1" authorId="0" shapeId="0" xr:uid="{CE8EC358-2E56-4C9B-AAA3-27C7C38F5F8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1" authorId="0" shapeId="0" xr:uid="{42CC4E48-E4A0-46C6-A79E-14F59F697B5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1" authorId="0" shapeId="0" xr:uid="{B6638790-C3EE-4FB9-A0BC-CCBA0401139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1" authorId="0" shapeId="0" xr:uid="{F405D331-B3A5-43E3-A01E-48B5DE12885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1" authorId="0" shapeId="0" xr:uid="{F5353B7C-C45C-4292-A8D0-0E4AECC9FC2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1" authorId="0" shapeId="0" xr:uid="{B3D08E10-73F3-4365-ABB8-07F94144D2E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1" authorId="0" shapeId="0" xr:uid="{E30A4D00-2C23-4E3F-B64A-4A1A438661B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1" authorId="0" shapeId="0" xr:uid="{D75C385F-44D6-4C28-AA56-9A1E2D8F37F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1" authorId="0" shapeId="0" xr:uid="{DAE5FC2F-5868-458F-8B3C-CC4D13BF6A9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2" authorId="0" shapeId="0" xr:uid="{E34BA125-2C1C-4D9D-A997-8659C911E47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2" authorId="0" shapeId="0" xr:uid="{BDF5B12D-A91B-40A9-943E-1F4EEE3B3E5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2" authorId="0" shapeId="0" xr:uid="{449A93F5-7160-401C-8D81-D030C248FB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2" authorId="0" shapeId="0" xr:uid="{86F268EE-2C71-494C-9FDB-FFFED6B6FC9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2" authorId="0" shapeId="0" xr:uid="{31D7AEC1-ADCF-48B1-A16A-4AAE0B0D1D7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2" authorId="0" shapeId="0" xr:uid="{47490C52-744A-4B36-B27A-88301AB7E47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2" authorId="0" shapeId="0" xr:uid="{28AC4A63-BD30-4E51-AF15-2AB0B815709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2" authorId="0" shapeId="0" xr:uid="{36150F1E-3888-4E79-9368-2E190BB1508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2" authorId="0" shapeId="0" xr:uid="{EDBD00F2-07D1-4A3F-8AD4-524415F07CD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2" authorId="0" shapeId="0" xr:uid="{62E6DDB5-2957-4F03-BB9B-5A84A782245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2" authorId="0" shapeId="0" xr:uid="{49706913-8706-48A9-BD0D-0ECC6174ABC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3" authorId="0" shapeId="0" xr:uid="{9C82DDD1-20DE-4359-ACC1-8D4BF24D4B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3" authorId="0" shapeId="0" xr:uid="{4CAC443C-4D30-4BA6-990A-2E46818E579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3" authorId="0" shapeId="0" xr:uid="{B145A1C9-7DD0-42F0-9894-660DED7DE02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3" authorId="0" shapeId="0" xr:uid="{ECA99A12-1B77-41D2-8D9A-C42422D61C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3" authorId="0" shapeId="0" xr:uid="{C29DBEEC-A599-4217-BF5D-0CD11370720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3" authorId="0" shapeId="0" xr:uid="{2D807705-5101-40CB-BFE2-3E2409F4B80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3" authorId="0" shapeId="0" xr:uid="{AED5E456-70AE-46CA-A4C3-1A9D8B4B691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3" authorId="0" shapeId="0" xr:uid="{543CCF7B-BFE6-4F31-B1B0-B4D0BC9B884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3" authorId="0" shapeId="0" xr:uid="{858DF011-E97B-4372-B94B-ADE5E7D2A53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3" authorId="0" shapeId="0" xr:uid="{3C26D835-CD96-4B22-8586-9E678FD85EC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3" authorId="0" shapeId="0" xr:uid="{02913760-4687-4C66-980E-A427496329B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4" authorId="0" shapeId="0" xr:uid="{06E8CAC9-F4F4-4AF2-8119-F42632A07EE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4" authorId="0" shapeId="0" xr:uid="{062B568E-29EF-4DB2-BA49-CC2A9972296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4" authorId="0" shapeId="0" xr:uid="{102539EF-D264-4552-BECA-5DBFBFD877F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4" authorId="0" shapeId="0" xr:uid="{70FFD13C-2D79-44D1-8190-63AB3F0F04D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4" authorId="0" shapeId="0" xr:uid="{D47F6D55-938C-4CFE-9BB1-CDD088A5A31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4" authorId="0" shapeId="0" xr:uid="{BBBD96AF-DBCA-40FC-A5FC-69AD1EF41E0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4" authorId="0" shapeId="0" xr:uid="{FA6F95B0-9422-46C6-A4D9-B638C58F010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4" authorId="0" shapeId="0" xr:uid="{31C1670B-1FDB-499D-90D9-C5555527374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4" authorId="0" shapeId="0" xr:uid="{B6B58EA4-D482-400B-BD19-4E2AE8B7A71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4" authorId="0" shapeId="0" xr:uid="{7914E63D-C7DF-4D67-8D30-04CCB7B3EDE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4" authorId="0" shapeId="0" xr:uid="{C63A91B2-248D-417D-98B8-42BE80FA285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5" authorId="0" shapeId="0" xr:uid="{B556A2F2-7F67-406D-8C07-D78A66D45CE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5" authorId="0" shapeId="0" xr:uid="{87A17DED-D656-4A84-BE7C-3021B2D9EE6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5" authorId="0" shapeId="0" xr:uid="{F0A32EDB-B677-46DC-B731-0B05C340F54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5" authorId="0" shapeId="0" xr:uid="{6CD31FA2-854B-41B2-BF0F-6BB8B633ABF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5" authorId="0" shapeId="0" xr:uid="{A1101AB5-5C7C-4F93-8A07-AE1970A0CD6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5" authorId="0" shapeId="0" xr:uid="{492F820D-2DAD-4874-A280-EE690140530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5" authorId="0" shapeId="0" xr:uid="{5706ABED-67BB-44E0-B114-A04F235F38E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5" authorId="0" shapeId="0" xr:uid="{6B6B4AAC-0343-49F2-A827-16A12B8B66D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5" authorId="0" shapeId="0" xr:uid="{14F6D2E8-9813-457D-8172-19F79F47FD2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5" authorId="0" shapeId="0" xr:uid="{061EEC58-0B1D-4A25-A559-C87C418A10E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5" authorId="0" shapeId="0" xr:uid="{BE054615-13F2-408F-803C-53AE8BEE438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6" authorId="0" shapeId="0" xr:uid="{D869843F-01D8-4E4C-9014-3664071CF06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06" authorId="0" shapeId="0" xr:uid="{DDACB015-FB5B-47DC-BB28-235AFAB00A1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06" authorId="0" shapeId="0" xr:uid="{001C56ED-E772-4B58-9A21-7B0CAA6961E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06" authorId="0" shapeId="0" xr:uid="{53C91F07-AFFE-4BB3-B2C6-9D9172192CE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06" authorId="0" shapeId="0" xr:uid="{CAB89FDF-DEED-4FFB-8139-7194C676A2E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06" authorId="0" shapeId="0" xr:uid="{2EFEF64F-3ADD-4032-AED9-6ECC0CB3B7D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06" authorId="0" shapeId="0" xr:uid="{11AC651B-0368-40A7-825F-83B3809F3BF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06" authorId="0" shapeId="0" xr:uid="{6632FC41-C6C4-452A-9E10-A3EEDB5FCAC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06" authorId="0" shapeId="0" xr:uid="{58F669A3-461D-4F1C-BAEE-7B6285424D9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06" authorId="0" shapeId="0" xr:uid="{1203BEF6-F4F1-40A3-80B1-8FEEE6AB27D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6" authorId="0" shapeId="0" xr:uid="{984D7FCE-96B0-420C-ACF8-C579E1EC905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7" authorId="0" shapeId="0" xr:uid="{A0F25AB5-6757-404E-876B-643AADB609D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7" authorId="0" shapeId="0" xr:uid="{E3E0D617-EC49-4BEC-895F-FF9FC6E8AD00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7" authorId="0" shapeId="0" xr:uid="{9139FEA1-EA98-46E5-A558-710A785BF4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7" authorId="0" shapeId="0" xr:uid="{8C77D1ED-4093-482C-BEB0-92335326FCB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7" authorId="0" shapeId="0" xr:uid="{66C3CFD7-1DF2-4673-9104-5EDC9D0EA81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7" authorId="0" shapeId="0" xr:uid="{E0C0D966-9AF9-4E3E-BDA7-0A86306C79D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7" authorId="0" shapeId="0" xr:uid="{0B7DD232-E911-4330-8DC6-CACC13A97B7F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7" authorId="0" shapeId="0" xr:uid="{3A7F8627-42ED-4FDE-AC6A-FA40E6B9766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7" authorId="0" shapeId="0" xr:uid="{C7716936-C9FE-439B-85BF-C6AD8D1FB80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7" authorId="0" shapeId="0" xr:uid="{E312B972-2CC0-4224-89A5-0FD2E7B0FC0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07" authorId="0" shapeId="0" xr:uid="{9E64D1F0-8C2A-4AE9-AE92-18D3DF281C6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8" authorId="0" shapeId="0" xr:uid="{D99A9770-02CA-4A98-A9AD-5A56F9C101A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8" authorId="0" shapeId="0" xr:uid="{E138C5EF-CDCA-4B80-9D6E-2CABFE72FD5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8" authorId="0" shapeId="0" xr:uid="{32D85F27-C34B-42C1-8D75-F309147D6C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8" authorId="0" shapeId="0" xr:uid="{C96B08D1-730A-4219-B8F8-D8476A5EB99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8" authorId="0" shapeId="0" xr:uid="{4D294062-E67C-4BEE-885C-CDC70881651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8" authorId="0" shapeId="0" xr:uid="{EFF898FA-36C6-41E9-83A8-F7470449564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8" authorId="0" shapeId="0" xr:uid="{E1B47602-8028-4CC4-8C7F-4D2F00555C8D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8" authorId="0" shapeId="0" xr:uid="{50724CBE-ABE5-4356-BCA2-640E073E65E5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8" authorId="0" shapeId="0" xr:uid="{E859333F-0830-4F94-971F-EC6E892CA1AE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8" authorId="0" shapeId="0" xr:uid="{23D35D95-4DC8-4640-93CA-64ECED853AF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8" authorId="0" shapeId="0" xr:uid="{0CE7BEA9-FEEB-460D-A8D5-B21648AB61A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09" authorId="0" shapeId="0" xr:uid="{F6586332-57CC-43F2-BBF0-86A63F560092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C109" authorId="0" shapeId="0" xr:uid="{C6AAE4CB-49E5-4295-9266-358CB6D31BF1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D109" authorId="0" shapeId="0" xr:uid="{E86829C9-C23A-47EF-9DFB-BE1CF1071FEC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E109" authorId="0" shapeId="0" xr:uid="{5712F736-F389-4CFE-A834-14D9BD797B39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F109" authorId="0" shapeId="0" xr:uid="{4F2AB58C-9191-40F2-A969-E61C9BAB21EB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G109" authorId="0" shapeId="0" xr:uid="{4F945074-02AD-4B6B-A490-5C191B33D68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H109" authorId="0" shapeId="0" xr:uid="{DD40834E-1FC4-4D86-AE67-DD2A57612DF3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I109" authorId="0" shapeId="0" xr:uid="{9071885E-FDA3-453C-A26D-16A0CF1C4176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J109" authorId="0" shapeId="0" xr:uid="{7EF5C9FD-A2A7-430C-9850-FFE0126FF9CA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K109" authorId="0" shapeId="0" xr:uid="{D5E3DF7B-DBF5-45FA-8ED4-E2689E410BB7}">
      <text>
        <r>
          <rPr>
            <sz val="9"/>
            <color indexed="81"/>
            <rFont val="Tahoma"/>
            <family val="2"/>
          </rPr>
          <t>Solver found a solution. All constraints and optimality conditions are satisfied.</t>
        </r>
      </text>
    </comment>
    <comment ref="L109" authorId="0" shapeId="0" xr:uid="{AC08471B-F36D-4152-8FCF-F68EAB844A3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0" authorId="0" shapeId="0" xr:uid="{99F2FD7C-AEA4-4CFF-97A1-ACF328BE7F8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0" authorId="0" shapeId="0" xr:uid="{3950955A-1322-4F65-B90E-3CC52E1B5F2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0" authorId="0" shapeId="0" xr:uid="{E555AE8D-466C-46B3-902B-CEE7C4BED72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0" authorId="0" shapeId="0" xr:uid="{4B37CFE1-C1CD-45CD-A026-24F442B8D63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0" authorId="0" shapeId="0" xr:uid="{FEB3BAC4-AD39-4725-85E5-CF1BB2318A9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0" authorId="0" shapeId="0" xr:uid="{E2FEABE1-9318-4597-B5DE-1E8CED5F1D3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0" authorId="0" shapeId="0" xr:uid="{A7F78DFD-5C57-4AF0-A768-D5FF37D5616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0" authorId="0" shapeId="0" xr:uid="{490AF403-DB65-4EB2-BDF8-90F653A99C0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0" authorId="0" shapeId="0" xr:uid="{3B8EFADC-6E8D-4521-AB9E-E13F4BE9234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0" authorId="0" shapeId="0" xr:uid="{6E44E913-E19C-470D-8881-85D9D5CE434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0" authorId="0" shapeId="0" xr:uid="{CBC71E8E-B218-4B77-A3BA-2F7D3C5ECD9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1" authorId="0" shapeId="0" xr:uid="{5D69303F-6F03-4110-A595-4A9710942C8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1" authorId="0" shapeId="0" xr:uid="{1672A0CB-B632-414D-8EB5-565E29C5240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1" authorId="0" shapeId="0" xr:uid="{59FD1555-B38A-43F7-BB53-8823BD4AF41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1" authorId="0" shapeId="0" xr:uid="{E1A8E10A-5428-448E-B5FD-B46B94E905C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1" authorId="0" shapeId="0" xr:uid="{36771120-4667-40CD-BC1C-1B003A485A0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1" authorId="0" shapeId="0" xr:uid="{8E569D36-3DED-4007-8A4C-C37DC38041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1" authorId="0" shapeId="0" xr:uid="{54CA9F98-5971-4251-8DF1-E878367B11C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1" authorId="0" shapeId="0" xr:uid="{8EFA178B-CB33-4B68-883B-56007C652DF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1" authorId="0" shapeId="0" xr:uid="{A24F3A89-BEF9-4B41-BCF1-6D9A23FF26F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1" authorId="0" shapeId="0" xr:uid="{B6B7BFF3-3E05-4A4A-98B4-3240A13177D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1" authorId="0" shapeId="0" xr:uid="{AD2DAE6B-72A3-4069-9938-A9CBBF79173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2" authorId="0" shapeId="0" xr:uid="{C9BE17FF-7EAE-45BE-90C5-BC79DBA18DC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2" authorId="0" shapeId="0" xr:uid="{1B52EB3C-E688-481D-9907-9CBE096EC6D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2" authorId="0" shapeId="0" xr:uid="{3E525BDE-EB27-4118-B378-858345E9012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2" authorId="0" shapeId="0" xr:uid="{425362FF-8F7F-4A7E-AB44-8E419775387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2" authorId="0" shapeId="0" xr:uid="{D8F9B402-97DE-4542-BF78-F1205A20280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2" authorId="0" shapeId="0" xr:uid="{834E69BE-14EE-4C5F-B196-E784830902F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2" authorId="0" shapeId="0" xr:uid="{06BD9DC2-4FA4-43A8-81BA-D087F43D3F3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2" authorId="0" shapeId="0" xr:uid="{579098E6-1322-465D-9686-9AC21B0B5DA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2" authorId="0" shapeId="0" xr:uid="{A457C7E4-C347-4497-B7D8-7BD25EFF361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2" authorId="0" shapeId="0" xr:uid="{462AB2D5-A689-4E6C-B9BC-F60C880C27D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2" authorId="0" shapeId="0" xr:uid="{C59943E3-83DA-498E-BEBA-7CDEB23BC0A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3" authorId="0" shapeId="0" xr:uid="{E63FFCA3-D556-4492-BC64-A5512430D65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3" authorId="0" shapeId="0" xr:uid="{E42E2031-6AD7-43BB-9072-FBD4BA0E11C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3" authorId="0" shapeId="0" xr:uid="{AF7591D0-8961-400C-A042-A0455E38064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3" authorId="0" shapeId="0" xr:uid="{58AD67FD-3408-476B-87AF-E4B06042F9A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3" authorId="0" shapeId="0" xr:uid="{137E2407-A785-4A0A-B8E3-84AFCAF416D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3" authorId="0" shapeId="0" xr:uid="{1958A857-EC38-47FA-BE92-049B0699AE2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3" authorId="0" shapeId="0" xr:uid="{BB8CF58E-9AEF-4737-ACD2-DD1D8ACC88D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3" authorId="0" shapeId="0" xr:uid="{88CFB155-F309-4439-B000-6170F92973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3" authorId="0" shapeId="0" xr:uid="{79A735F2-8DE7-4812-8DF4-F246AB40D40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3" authorId="0" shapeId="0" xr:uid="{7D7D1126-5798-4D85-A410-EB1DB7C6C57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3" authorId="0" shapeId="0" xr:uid="{35E7F35E-776C-457D-B3C9-3383150B66A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4" authorId="0" shapeId="0" xr:uid="{52EAF015-0FA0-4581-82A1-37F55D30B7F1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4" authorId="0" shapeId="0" xr:uid="{E908E1F0-0014-405B-A096-FA6CB342A47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4" authorId="0" shapeId="0" xr:uid="{D9C56BC0-2019-4432-B072-B8F153CFF94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4" authorId="0" shapeId="0" xr:uid="{3EF6E344-1AE2-41B3-81A4-20D0C9B4A1B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4" authorId="0" shapeId="0" xr:uid="{48249A75-CFA6-4B90-9AF8-6409DF510DC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4" authorId="0" shapeId="0" xr:uid="{89B29FBF-E8BD-4420-B459-995AA2AA299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4" authorId="0" shapeId="0" xr:uid="{16475B43-AA03-4EE0-9C08-B3BF44478C0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4" authorId="0" shapeId="0" xr:uid="{C863F4BA-7D86-4075-94DB-1F8127FA80D0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4" authorId="0" shapeId="0" xr:uid="{89078F12-1BF8-41AE-A89D-BE024F402D0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4" authorId="0" shapeId="0" xr:uid="{08D5D5F2-3A3B-44CA-BA41-4AD475187CE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4" authorId="0" shapeId="0" xr:uid="{D1008259-B2C1-4FB2-9C3D-30DA6B8F97B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5" authorId="0" shapeId="0" xr:uid="{504FF659-79C9-4FFF-BBDF-F9D541BFB4C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5" authorId="0" shapeId="0" xr:uid="{A198CDFB-658C-48F2-B6E3-D6B7CAA622C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5" authorId="0" shapeId="0" xr:uid="{D85F72B6-D65E-4C4A-A9E1-E260E8ED09A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5" authorId="0" shapeId="0" xr:uid="{1789B63D-2F2F-4F8A-AA6D-532598A2F1C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5" authorId="0" shapeId="0" xr:uid="{C1C65AAB-D88E-46D3-AD2A-4BF1D760D88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5" authorId="0" shapeId="0" xr:uid="{0EB94892-F5F2-43A3-B83C-4B9D60D80CA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5" authorId="0" shapeId="0" xr:uid="{6A592534-F71E-4D36-9C9A-DF8B27780C4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5" authorId="0" shapeId="0" xr:uid="{777A644E-9953-419A-B114-6FB6C9D5AFB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5" authorId="0" shapeId="0" xr:uid="{B81C13E8-4D7F-4CDB-85D0-00BB67CC29AC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5" authorId="0" shapeId="0" xr:uid="{970AED93-4C5F-477F-BB29-DFBBD70E06AE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5" authorId="0" shapeId="0" xr:uid="{F6576027-9235-43E8-AB1F-8E064E036B7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6" authorId="0" shapeId="0" xr:uid="{CA803F19-94AF-462A-9AE7-DDF0311C1D6D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6" authorId="0" shapeId="0" xr:uid="{08C721BF-32CA-4443-9E83-A569C1B5A18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6" authorId="0" shapeId="0" xr:uid="{9EBF8E5B-CA66-4907-A1C8-D545A606F45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6" authorId="0" shapeId="0" xr:uid="{CDAE858E-0DBE-4F18-86FE-1302829E22B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6" authorId="0" shapeId="0" xr:uid="{7BAF652F-5273-42E4-B6CE-4CDFF0060F53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6" authorId="0" shapeId="0" xr:uid="{3889E7B8-ABEB-404A-B0D0-E6523DE1A0E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6" authorId="0" shapeId="0" xr:uid="{ECEB0066-6ABB-447D-AC54-84197F4BE565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6" authorId="0" shapeId="0" xr:uid="{B6A6F4FF-3EAD-4C13-9B93-A354586C1C9A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6" authorId="0" shapeId="0" xr:uid="{70FA62AC-1834-4460-812F-C7A2998B424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6" authorId="0" shapeId="0" xr:uid="{E0F489B4-9826-4955-B637-948063BCB3F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6" authorId="0" shapeId="0" xr:uid="{B49841F8-9248-43BB-A37E-C85DD95A442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B117" authorId="0" shapeId="0" xr:uid="{0D431B3C-F81C-4EC6-A14D-49F206E8288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C117" authorId="0" shapeId="0" xr:uid="{C0C72727-5A58-4599-8FE3-3C9BE95C598F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D117" authorId="0" shapeId="0" xr:uid="{DA8EC0CF-81E5-4AFF-97CB-AD65E5CFC7B6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E117" authorId="0" shapeId="0" xr:uid="{5C1EF564-BA56-4E4A-B496-F69BC8C98E58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F117" authorId="0" shapeId="0" xr:uid="{A1E1D33C-E125-4E1B-8488-2F9D58437277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G117" authorId="0" shapeId="0" xr:uid="{F6F6AC5E-CD8E-4E50-B54A-3774D5CE24E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H117" authorId="0" shapeId="0" xr:uid="{69648BD6-1E14-4A53-862C-C97D06E495C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I117" authorId="0" shapeId="0" xr:uid="{5C642A28-5013-42F0-BB1B-013718161F62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J117" authorId="0" shapeId="0" xr:uid="{843278AF-F52F-4360-B322-A7817BE5D839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K117" authorId="0" shapeId="0" xr:uid="{E117E247-1C32-44E5-9CAD-716AE2BF3434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  <comment ref="L117" authorId="0" shapeId="0" xr:uid="{082169C6-DE93-4193-9B86-896546485AEB}">
      <text>
        <r>
          <rPr>
            <sz val="9"/>
            <color indexed="81"/>
            <rFont val="Tahoma"/>
            <family val="2"/>
          </rPr>
          <t>Solver could not find a feasible solution.</t>
        </r>
      </text>
    </comment>
  </commentList>
</comments>
</file>

<file path=xl/sharedStrings.xml><?xml version="1.0" encoding="utf-8"?>
<sst xmlns="http://schemas.openxmlformats.org/spreadsheetml/2006/main" count="4358" uniqueCount="144">
  <si>
    <t>Minimize the Total Purchasing cost</t>
  </si>
  <si>
    <t>Supplier 1</t>
  </si>
  <si>
    <t>Supplier 2</t>
  </si>
  <si>
    <t>Supplier 3</t>
  </si>
  <si>
    <t>Decision Variables</t>
  </si>
  <si>
    <t>S1=</t>
  </si>
  <si>
    <t>S2=</t>
  </si>
  <si>
    <t>S3=</t>
  </si>
  <si>
    <t>Num of Units</t>
  </si>
  <si>
    <t>Supplier 4</t>
  </si>
  <si>
    <t>S4=</t>
  </si>
  <si>
    <t>Quality Acceptance Rate</t>
  </si>
  <si>
    <t>On-time Delivery Rate</t>
  </si>
  <si>
    <t>Cost per Unit, $</t>
  </si>
  <si>
    <t>Objective Function</t>
  </si>
  <si>
    <t>Minimize Total Cost</t>
  </si>
  <si>
    <t>Constraints</t>
  </si>
  <si>
    <t>LHS</t>
  </si>
  <si>
    <t>RHS</t>
  </si>
  <si>
    <t>Manager Order plan</t>
  </si>
  <si>
    <t>Avg Quality Acceptance</t>
  </si>
  <si>
    <t>&gt;=</t>
  </si>
  <si>
    <t>=</t>
  </si>
  <si>
    <t>Avg On-time delivery rate</t>
  </si>
  <si>
    <t>Avg Unit Cost</t>
  </si>
  <si>
    <t>&lt;=</t>
  </si>
  <si>
    <t>Microsoft Excel 16.0 Sensitivity Report</t>
  </si>
  <si>
    <t>Variable Cells</t>
  </si>
  <si>
    <t>Cell</t>
  </si>
  <si>
    <t>Name</t>
  </si>
  <si>
    <t>Final</t>
  </si>
  <si>
    <t>Value</t>
  </si>
  <si>
    <t>Reduced</t>
  </si>
  <si>
    <t>Cost</t>
  </si>
  <si>
    <t>Objective</t>
  </si>
  <si>
    <t>Coefficient</t>
  </si>
  <si>
    <t>Allowable</t>
  </si>
  <si>
    <t>Increase</t>
  </si>
  <si>
    <t>Decrease</t>
  </si>
  <si>
    <t>Shadow</t>
  </si>
  <si>
    <t>Price</t>
  </si>
  <si>
    <t>Constraint</t>
  </si>
  <si>
    <t>R.H. Side</t>
  </si>
  <si>
    <t>$C$4</t>
  </si>
  <si>
    <t>S1= Num of Units</t>
  </si>
  <si>
    <t>$C$5</t>
  </si>
  <si>
    <t>S2= Num of Units</t>
  </si>
  <si>
    <t>$C$6</t>
  </si>
  <si>
    <t>S3= Num of Units</t>
  </si>
  <si>
    <t>$C$7</t>
  </si>
  <si>
    <t>S4= Num of Units</t>
  </si>
  <si>
    <t>Manager Order plan LHS</t>
  </si>
  <si>
    <t>Avg Quality Acceptance LHS</t>
  </si>
  <si>
    <t>Avg On-time delivery rate LHS</t>
  </si>
  <si>
    <t>Avg Unit Cost LHS</t>
  </si>
  <si>
    <t>$B$20</t>
  </si>
  <si>
    <t>Total Units</t>
  </si>
  <si>
    <t>Minimum Units Req by MicroSystems</t>
  </si>
  <si>
    <t>Units from Supplier 1</t>
  </si>
  <si>
    <t>Units from Supplier 2</t>
  </si>
  <si>
    <t>Units from Supplier 3</t>
  </si>
  <si>
    <t>Units from Supplier 4</t>
  </si>
  <si>
    <t xml:space="preserve">Constraints Calculation </t>
  </si>
  <si>
    <t>Worksheet: [Optimization Project.xlsx]OG</t>
  </si>
  <si>
    <t>Report Created: 3/8/2024 10:56:05 AM</t>
  </si>
  <si>
    <t>$G$17</t>
  </si>
  <si>
    <t>$G$18</t>
  </si>
  <si>
    <t>$G$19</t>
  </si>
  <si>
    <t>$G$20</t>
  </si>
  <si>
    <t>$G$21</t>
  </si>
  <si>
    <t>Units from Supplier 1 LHS</t>
  </si>
  <si>
    <t>$G$22</t>
  </si>
  <si>
    <t>Units from Supplier 2 LHS</t>
  </si>
  <si>
    <t>$G$23</t>
  </si>
  <si>
    <t>Units from Supplier 3 LHS</t>
  </si>
  <si>
    <t>$G$24</t>
  </si>
  <si>
    <t>Units from Supplier 4 LHS</t>
  </si>
  <si>
    <t>$I$17</t>
  </si>
  <si>
    <t>$B$11,$B$20</t>
  </si>
  <si>
    <t>Input</t>
  </si>
  <si>
    <t>One-way analysis for Solver model in OG worksheet</t>
  </si>
  <si>
    <t>Input (cell $I$17) values along side, output cell(s) along top</t>
  </si>
  <si>
    <t>$B$11</t>
  </si>
  <si>
    <t>Data for chart</t>
  </si>
  <si>
    <t>$B$11,$B$21,$B$22,$B$23,$B$24,$B$20</t>
  </si>
  <si>
    <t>One-way analysis for Solver model in dummy worksheet</t>
  </si>
  <si>
    <t>$B$21</t>
  </si>
  <si>
    <t>$B$22</t>
  </si>
  <si>
    <t>$B$23</t>
  </si>
  <si>
    <t>$B$24</t>
  </si>
  <si>
    <t>S1</t>
  </si>
  <si>
    <t>S2</t>
  </si>
  <si>
    <t>S3</t>
  </si>
  <si>
    <t>S4</t>
  </si>
  <si>
    <t>Avg Price</t>
  </si>
  <si>
    <t>Required Units</t>
  </si>
  <si>
    <t>$D$17</t>
  </si>
  <si>
    <t/>
  </si>
  <si>
    <t>$B$21:$B$24,$B$11</t>
  </si>
  <si>
    <t>Order Quantity</t>
  </si>
  <si>
    <t>Two-way analysis for Solver model in dummy worksheet</t>
  </si>
  <si>
    <t>Order Quantity (cell $D$17) values along side, Avg Quality (cell $D$18) values along top, output cell in corner</t>
  </si>
  <si>
    <t>Output and Order Quantity value for chart</t>
  </si>
  <si>
    <t>Output</t>
  </si>
  <si>
    <t>Order Quantity value</t>
  </si>
  <si>
    <t>Output and Avg Quality value for chart</t>
  </si>
  <si>
    <t>Avg Quality value</t>
  </si>
  <si>
    <t>Not feasible</t>
  </si>
  <si>
    <t>$C$4,$C$6,$C$7,$B$11,$B$20</t>
  </si>
  <si>
    <t>S2 Units</t>
  </si>
  <si>
    <t>Order Quantity (cell $D$17) values along side, S2 Units (cell $C$5) values along top, output cell in corner</t>
  </si>
  <si>
    <t>Output and S2 Units value for chart</t>
  </si>
  <si>
    <t>S2 Units value</t>
  </si>
  <si>
    <t>$B$17</t>
  </si>
  <si>
    <t>$B$18</t>
  </si>
  <si>
    <t>$B$19</t>
  </si>
  <si>
    <t>One-way analysis for Solver model in LP worksheet</t>
  </si>
  <si>
    <t>Input (cell $D$17) values along side, output cell(s) along top</t>
  </si>
  <si>
    <t>ORDER QUANTITY</t>
  </si>
  <si>
    <t>One-way analysis for Solver model in ILP worksheet</t>
  </si>
  <si>
    <t>ORDER QUANTITY (cell $I$17) values along side, output cell(s) along top</t>
  </si>
  <si>
    <t>$G$21:$G$24,$B$11</t>
  </si>
  <si>
    <t>Input1</t>
  </si>
  <si>
    <t>Input2</t>
  </si>
  <si>
    <t>Two-way analysis for Solver model in ILP worksheet</t>
  </si>
  <si>
    <t>Input1 (cell $I$17) values along side, Input2 (cell $C$5) values along top, output cell in corner</t>
  </si>
  <si>
    <t>Output and Input1 value for chart</t>
  </si>
  <si>
    <t>Input1 value</t>
  </si>
  <si>
    <t>Output and Input2 value for chart</t>
  </si>
  <si>
    <t>Input2 value</t>
  </si>
  <si>
    <t>Worksheet: [Optimization Project.xlsx]LP_</t>
  </si>
  <si>
    <t>Report Created: 3/8/2024 9:32:25 PM</t>
  </si>
  <si>
    <t>Num of units</t>
  </si>
  <si>
    <t>One-way analysis for Solver model in LP_ worksheet</t>
  </si>
  <si>
    <t>Num of units (cell $I$17) values along side, output cell(s) along top</t>
  </si>
  <si>
    <t>$F$4</t>
  </si>
  <si>
    <t>$B$21:$B$24,$B$11,$B$20</t>
  </si>
  <si>
    <t>Two-way analysis for Solver model in LP_ worksheet</t>
  </si>
  <si>
    <t>Input1 (cell $I$17) values along side, Input2 (cell $F$4) values along top, output cell in corner</t>
  </si>
  <si>
    <t>Worksheet: [Optimization Project.xlsx]LP</t>
  </si>
  <si>
    <t>Report Created: 3/9/2024 4:39:24 PM</t>
  </si>
  <si>
    <t>Report Created: 3/9/2024 5:41:42 PM</t>
  </si>
  <si>
    <t>Report Created: 3/9/2024 5:56:15 PM</t>
  </si>
  <si>
    <t>Total Cost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</si>
</sst>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000"/>
    <numFmt numFmtId="165" formatCode="0.000"/>
    <numFmt numFmtId="166" formatCode="0.0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7"/>
      <name val="Aptos Narrow"/>
      <family val="2"/>
      <scheme val="minor"/>
    </font>
    <font>
      <b/>
      <sz val="11"/>
      <color rgb="FFFF0000"/>
      <name val="Aptos Narrow"/>
      <family val="2"/>
      <scheme val="minor"/>
    </font>
    <font>
      <b/>
      <sz val="11"/>
      <color indexed="18"/>
      <name val="Aptos Narrow"/>
      <family val="2"/>
      <scheme val="minor"/>
    </font>
    <font>
      <sz val="11"/>
      <color rgb="FFFFFFFF"/>
      <name val="Aptos Narrow"/>
      <family val="2"/>
      <scheme val="minor"/>
    </font>
    <font>
      <sz val="9"/>
      <color indexed="81"/>
      <name val="Tahoma"/>
      <family val="2"/>
    </font>
  </fonts>
  <fills count="8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indexed="47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23"/>
      </top>
      <bottom/>
      <diagonal/>
    </border>
    <border>
      <left/>
      <right/>
      <top/>
      <bottom style="medium">
        <color indexed="23"/>
      </bottom>
      <diagonal/>
    </border>
    <border>
      <left/>
      <right/>
      <top style="thin">
        <color indexed="23"/>
      </top>
      <bottom/>
      <diagonal/>
    </border>
    <border>
      <left/>
      <right/>
      <top style="thin">
        <color indexed="23"/>
      </top>
      <bottom style="medium">
        <color indexed="23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85">
    <xf numFmtId="0" fontId="0" fillId="0" borderId="0" xfId="0"/>
    <xf numFmtId="0" fontId="3" fillId="0" borderId="0" xfId="0" applyFont="1"/>
    <xf numFmtId="0" fontId="0" fillId="0" borderId="0" xfId="0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2" fillId="0" borderId="0" xfId="0" applyFont="1" applyAlignment="1">
      <alignment horizontal="center"/>
    </xf>
    <xf numFmtId="0" fontId="2" fillId="0" borderId="0" xfId="0" applyFont="1"/>
    <xf numFmtId="0" fontId="0" fillId="0" borderId="4" xfId="0" applyBorder="1"/>
    <xf numFmtId="0" fontId="0" fillId="0" borderId="5" xfId="0" applyBorder="1"/>
    <xf numFmtId="0" fontId="5" fillId="0" borderId="2" xfId="0" applyFont="1" applyBorder="1" applyAlignment="1">
      <alignment horizontal="center"/>
    </xf>
    <xf numFmtId="0" fontId="5" fillId="0" borderId="3" xfId="0" applyFont="1" applyBorder="1" applyAlignment="1">
      <alignment horizontal="center"/>
    </xf>
    <xf numFmtId="0" fontId="3" fillId="0" borderId="0" xfId="0" applyFont="1" applyAlignment="1">
      <alignment horizontal="center"/>
    </xf>
    <xf numFmtId="44" fontId="4" fillId="3" borderId="0" xfId="1" applyFont="1" applyFill="1" applyAlignment="1">
      <alignment horizontal="center"/>
    </xf>
    <xf numFmtId="0" fontId="0" fillId="0" borderId="1" xfId="0" applyBorder="1"/>
    <xf numFmtId="0" fontId="0" fillId="0" borderId="1" xfId="0" applyBorder="1" applyAlignment="1">
      <alignment vertical="center" wrapText="1"/>
    </xf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center" vertical="center" wrapText="1"/>
    </xf>
    <xf numFmtId="1" fontId="0" fillId="2" borderId="1" xfId="0" applyNumberFormat="1" applyFill="1" applyBorder="1" applyAlignment="1">
      <alignment horizontal="center"/>
    </xf>
    <xf numFmtId="49" fontId="0" fillId="0" borderId="0" xfId="0" applyNumberFormat="1"/>
    <xf numFmtId="0" fontId="0" fillId="0" borderId="0" xfId="0" applyAlignment="1">
      <alignment horizontal="right" textRotation="90"/>
    </xf>
    <xf numFmtId="0" fontId="0" fillId="5" borderId="0" xfId="0" applyFill="1" applyAlignment="1">
      <alignment horizontal="right" textRotation="90"/>
    </xf>
    <xf numFmtId="0" fontId="6" fillId="0" borderId="0" xfId="0" applyFont="1"/>
    <xf numFmtId="44" fontId="0" fillId="0" borderId="6" xfId="0" applyNumberFormat="1" applyBorder="1"/>
    <xf numFmtId="0" fontId="0" fillId="0" borderId="7" xfId="0" applyBorder="1"/>
    <xf numFmtId="44" fontId="0" fillId="0" borderId="8" xfId="0" applyNumberFormat="1" applyBorder="1"/>
    <xf numFmtId="0" fontId="0" fillId="0" borderId="9" xfId="0" applyBorder="1"/>
    <xf numFmtId="44" fontId="0" fillId="0" borderId="10" xfId="0" applyNumberFormat="1" applyBorder="1"/>
    <xf numFmtId="0" fontId="0" fillId="0" borderId="11" xfId="0" applyBorder="1"/>
    <xf numFmtId="2" fontId="2" fillId="0" borderId="1" xfId="0" applyNumberFormat="1" applyFont="1" applyBorder="1" applyAlignment="1">
      <alignment horizontal="center"/>
    </xf>
    <xf numFmtId="1" fontId="2" fillId="0" borderId="1" xfId="0" applyNumberFormat="1" applyFont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2" fontId="0" fillId="4" borderId="1" xfId="0" applyNumberFormat="1" applyFill="1" applyBorder="1" applyAlignment="1">
      <alignment horizontal="center"/>
    </xf>
    <xf numFmtId="1" fontId="0" fillId="4" borderId="1" xfId="0" applyNumberFormat="1" applyFill="1" applyBorder="1" applyAlignment="1">
      <alignment horizontal="center"/>
    </xf>
    <xf numFmtId="0" fontId="0" fillId="0" borderId="12" xfId="0" applyBorder="1"/>
    <xf numFmtId="0" fontId="0" fillId="0" borderId="13" xfId="0" applyBorder="1"/>
    <xf numFmtId="1" fontId="0" fillId="0" borderId="12" xfId="0" applyNumberFormat="1" applyBorder="1"/>
    <xf numFmtId="2" fontId="0" fillId="0" borderId="7" xfId="0" applyNumberFormat="1" applyBorder="1"/>
    <xf numFmtId="1" fontId="0" fillId="0" borderId="0" xfId="0" applyNumberFormat="1"/>
    <xf numFmtId="2" fontId="0" fillId="0" borderId="9" xfId="0" applyNumberFormat="1" applyBorder="1"/>
    <xf numFmtId="1" fontId="0" fillId="0" borderId="13" xfId="0" applyNumberFormat="1" applyBorder="1"/>
    <xf numFmtId="2" fontId="0" fillId="0" borderId="11" xfId="0" applyNumberFormat="1" applyBorder="1"/>
    <xf numFmtId="44" fontId="0" fillId="0" borderId="0" xfId="0" applyNumberFormat="1"/>
    <xf numFmtId="2" fontId="0" fillId="0" borderId="0" xfId="0" applyNumberFormat="1"/>
    <xf numFmtId="0" fontId="0" fillId="0" borderId="0" xfId="0" applyAlignment="1">
      <alignment horizontal="right"/>
    </xf>
    <xf numFmtId="0" fontId="0" fillId="6" borderId="0" xfId="0" applyFill="1"/>
    <xf numFmtId="0" fontId="0" fillId="7" borderId="6" xfId="0" applyFill="1" applyBorder="1"/>
    <xf numFmtId="0" fontId="0" fillId="7" borderId="8" xfId="0" applyFill="1" applyBorder="1"/>
    <xf numFmtId="0" fontId="0" fillId="0" borderId="8" xfId="0" applyBorder="1"/>
    <xf numFmtId="0" fontId="0" fillId="7" borderId="10" xfId="0" applyFill="1" applyBorder="1"/>
    <xf numFmtId="0" fontId="0" fillId="7" borderId="12" xfId="0" applyFill="1" applyBorder="1"/>
    <xf numFmtId="0" fontId="0" fillId="7" borderId="0" xfId="0" applyFill="1"/>
    <xf numFmtId="0" fontId="0" fillId="7" borderId="13" xfId="0" applyFill="1" applyBorder="1"/>
    <xf numFmtId="0" fontId="0" fillId="7" borderId="7" xfId="0" applyFill="1" applyBorder="1"/>
    <xf numFmtId="0" fontId="0" fillId="7" borderId="9" xfId="0" applyFill="1" applyBorder="1"/>
    <xf numFmtId="0" fontId="0" fillId="7" borderId="11" xfId="0" applyFill="1" applyBorder="1"/>
    <xf numFmtId="2" fontId="0" fillId="0" borderId="8" xfId="0" applyNumberFormat="1" applyBorder="1"/>
    <xf numFmtId="44" fontId="0" fillId="0" borderId="9" xfId="0" applyNumberFormat="1" applyBorder="1"/>
    <xf numFmtId="1" fontId="0" fillId="0" borderId="8" xfId="0" applyNumberFormat="1" applyBorder="1"/>
    <xf numFmtId="1" fontId="0" fillId="0" borderId="6" xfId="0" applyNumberFormat="1" applyBorder="1"/>
    <xf numFmtId="44" fontId="0" fillId="0" borderId="7" xfId="0" applyNumberFormat="1" applyBorder="1"/>
    <xf numFmtId="1" fontId="0" fillId="0" borderId="10" xfId="0" applyNumberFormat="1" applyBorder="1"/>
    <xf numFmtId="44" fontId="0" fillId="0" borderId="11" xfId="0" applyNumberFormat="1" applyBorder="1"/>
    <xf numFmtId="0" fontId="0" fillId="0" borderId="6" xfId="0" applyBorder="1"/>
    <xf numFmtId="0" fontId="0" fillId="0" borderId="10" xfId="0" applyBorder="1"/>
    <xf numFmtId="44" fontId="0" fillId="0" borderId="12" xfId="0" applyNumberFormat="1" applyBorder="1"/>
    <xf numFmtId="44" fontId="0" fillId="0" borderId="13" xfId="0" applyNumberFormat="1" applyBorder="1"/>
    <xf numFmtId="2" fontId="0" fillId="0" borderId="6" xfId="0" applyNumberFormat="1" applyBorder="1"/>
    <xf numFmtId="2" fontId="0" fillId="0" borderId="10" xfId="0" applyNumberFormat="1" applyBorder="1"/>
    <xf numFmtId="2" fontId="0" fillId="0" borderId="12" xfId="0" applyNumberFormat="1" applyBorder="1"/>
    <xf numFmtId="2" fontId="0" fillId="0" borderId="13" xfId="0" applyNumberFormat="1" applyBorder="1"/>
    <xf numFmtId="2" fontId="0" fillId="0" borderId="4" xfId="0" applyNumberFormat="1" applyBorder="1"/>
    <xf numFmtId="166" fontId="0" fillId="0" borderId="4" xfId="0" applyNumberFormat="1" applyBorder="1"/>
    <xf numFmtId="1" fontId="0" fillId="0" borderId="4" xfId="0" applyNumberFormat="1" applyBorder="1"/>
    <xf numFmtId="1" fontId="0" fillId="0" borderId="5" xfId="0" applyNumberFormat="1" applyBorder="1"/>
    <xf numFmtId="164" fontId="0" fillId="0" borderId="4" xfId="0" applyNumberFormat="1" applyBorder="1"/>
    <xf numFmtId="0" fontId="0" fillId="0" borderId="0" xfId="0" applyAlignment="1">
      <alignment horizontal="center" textRotation="90"/>
    </xf>
    <xf numFmtId="1" fontId="0" fillId="0" borderId="6" xfId="0" applyNumberFormat="1" applyBorder="1" applyAlignment="1">
      <alignment horizontal="center"/>
    </xf>
    <xf numFmtId="1" fontId="0" fillId="0" borderId="12" xfId="0" applyNumberFormat="1" applyBorder="1" applyAlignment="1">
      <alignment horizontal="center"/>
    </xf>
    <xf numFmtId="44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44" fontId="0" fillId="0" borderId="9" xfId="0" applyNumberFormat="1" applyBorder="1" applyAlignment="1">
      <alignment horizontal="center"/>
    </xf>
    <xf numFmtId="1" fontId="0" fillId="0" borderId="10" xfId="0" applyNumberFormat="1" applyBorder="1" applyAlignment="1">
      <alignment horizontal="center"/>
    </xf>
    <xf numFmtId="1" fontId="0" fillId="0" borderId="13" xfId="0" applyNumberFormat="1" applyBorder="1" applyAlignment="1">
      <alignment horizontal="center"/>
    </xf>
    <xf numFmtId="44" fontId="0" fillId="0" borderId="11" xfId="0" applyNumberFormat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customXml" Target="../customXml/item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ustomXml" Target="../customXml/item3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sharedStrings" Target="sharedStrings.xml"/><Relationship Id="rId30" Type="http://schemas.openxmlformats.org/officeDocument/2006/relationships/customXml" Target="../customXml/item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STS_5!$K$1</c:f>
          <c:strCache>
            <c:ptCount val="1"/>
            <c:pt idx="0">
              <c:v>Sensitivity of $C$4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STS_5!$A$5:$A$25</c:f>
              <c:numCache>
                <c:formatCode>General</c:formatCode>
                <c:ptCount val="21"/>
                <c:pt idx="0">
                  <c:v>3000</c:v>
                </c:pt>
                <c:pt idx="1">
                  <c:v>3200</c:v>
                </c:pt>
                <c:pt idx="2">
                  <c:v>3400</c:v>
                </c:pt>
                <c:pt idx="3">
                  <c:v>3600</c:v>
                </c:pt>
                <c:pt idx="4">
                  <c:v>3800</c:v>
                </c:pt>
                <c:pt idx="5">
                  <c:v>4000</c:v>
                </c:pt>
                <c:pt idx="6">
                  <c:v>4200</c:v>
                </c:pt>
                <c:pt idx="7">
                  <c:v>4400</c:v>
                </c:pt>
                <c:pt idx="8">
                  <c:v>4600</c:v>
                </c:pt>
                <c:pt idx="9">
                  <c:v>4800</c:v>
                </c:pt>
                <c:pt idx="10">
                  <c:v>5000</c:v>
                </c:pt>
                <c:pt idx="11">
                  <c:v>5200</c:v>
                </c:pt>
                <c:pt idx="12">
                  <c:v>5400</c:v>
                </c:pt>
                <c:pt idx="13">
                  <c:v>5600</c:v>
                </c:pt>
                <c:pt idx="14">
                  <c:v>5800</c:v>
                </c:pt>
                <c:pt idx="15">
                  <c:v>6000</c:v>
                </c:pt>
                <c:pt idx="16">
                  <c:v>6200</c:v>
                </c:pt>
                <c:pt idx="17">
                  <c:v>6400</c:v>
                </c:pt>
                <c:pt idx="18">
                  <c:v>6600</c:v>
                </c:pt>
                <c:pt idx="19">
                  <c:v>6800</c:v>
                </c:pt>
                <c:pt idx="20">
                  <c:v>7000</c:v>
                </c:pt>
              </c:numCache>
            </c:numRef>
          </c:cat>
          <c:val>
            <c:numRef>
              <c:f>STS_5!$K$5:$K$25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2311.1109733581579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8BD-414D-8F45-7CC2D439286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56688"/>
        <c:axId val="96192640"/>
      </c:lineChart>
      <c:catAx>
        <c:axId val="1228566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($D$17)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92640"/>
        <c:crosses val="autoZero"/>
        <c:auto val="1"/>
        <c:lblAlgn val="ctr"/>
        <c:lblOffset val="100"/>
        <c:noMultiLvlLbl val="0"/>
      </c:catAx>
      <c:valAx>
        <c:axId val="9619264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85668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STS_2!$N$1</c:f>
          <c:strCache>
            <c:ptCount val="1"/>
            <c:pt idx="0">
              <c:v>Sensitivity of $B$21 to Avg Quality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STS_2!$B$4:$L$4</c:f>
              <c:numCache>
                <c:formatCode>General</c:formatCode>
                <c:ptCount val="11"/>
                <c:pt idx="0">
                  <c:v>0.5</c:v>
                </c:pt>
                <c:pt idx="1">
                  <c:v>0.55000001192092896</c:v>
                </c:pt>
                <c:pt idx="2">
                  <c:v>0.60000002384185791</c:v>
                </c:pt>
                <c:pt idx="3">
                  <c:v>0.64999997615814209</c:v>
                </c:pt>
                <c:pt idx="4">
                  <c:v>0.69999998807907104</c:v>
                </c:pt>
                <c:pt idx="5">
                  <c:v>0.75</c:v>
                </c:pt>
                <c:pt idx="6">
                  <c:v>0.80000001192092896</c:v>
                </c:pt>
                <c:pt idx="7">
                  <c:v>0.85000002384185791</c:v>
                </c:pt>
                <c:pt idx="8">
                  <c:v>0.89999997615814209</c:v>
                </c:pt>
                <c:pt idx="9">
                  <c:v>0.94999998807907104</c:v>
                </c:pt>
                <c:pt idx="10">
                  <c:v>1</c:v>
                </c:pt>
              </c:numCache>
            </c:numRef>
          </c:cat>
          <c:val>
            <c:numRef>
              <c:f>STS_2!$N$5:$N$15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97D-4F90-AC22-75D7809F16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47216"/>
        <c:axId val="141255760"/>
      </c:lineChart>
      <c:catAx>
        <c:axId val="1830472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Quality ($D$18)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255760"/>
        <c:crosses val="autoZero"/>
        <c:auto val="1"/>
        <c:lblAlgn val="ctr"/>
        <c:lblOffset val="100"/>
        <c:noMultiLvlLbl val="0"/>
      </c:catAx>
      <c:valAx>
        <c:axId val="14125576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472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STS_2!$R$1</c:f>
          <c:strCache>
            <c:ptCount val="1"/>
            <c:pt idx="0">
              <c:v>Sensitivity of $B$21 to Order Quantity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STS_2!$A$5:$A$25</c:f>
              <c:numCache>
                <c:formatCode>General</c:formatCode>
                <c:ptCount val="21"/>
                <c:pt idx="0">
                  <c:v>3000</c:v>
                </c:pt>
                <c:pt idx="1">
                  <c:v>3200</c:v>
                </c:pt>
                <c:pt idx="2">
                  <c:v>3400</c:v>
                </c:pt>
                <c:pt idx="3">
                  <c:v>3600</c:v>
                </c:pt>
                <c:pt idx="4">
                  <c:v>3800</c:v>
                </c:pt>
                <c:pt idx="5">
                  <c:v>4000</c:v>
                </c:pt>
                <c:pt idx="6">
                  <c:v>4200</c:v>
                </c:pt>
                <c:pt idx="7">
                  <c:v>4400</c:v>
                </c:pt>
                <c:pt idx="8">
                  <c:v>4600</c:v>
                </c:pt>
                <c:pt idx="9">
                  <c:v>4800</c:v>
                </c:pt>
                <c:pt idx="10">
                  <c:v>5000</c:v>
                </c:pt>
                <c:pt idx="11">
                  <c:v>5200</c:v>
                </c:pt>
                <c:pt idx="12">
                  <c:v>5400</c:v>
                </c:pt>
                <c:pt idx="13">
                  <c:v>5600</c:v>
                </c:pt>
                <c:pt idx="14">
                  <c:v>5800</c:v>
                </c:pt>
                <c:pt idx="15">
                  <c:v>6000</c:v>
                </c:pt>
                <c:pt idx="16">
                  <c:v>6200</c:v>
                </c:pt>
                <c:pt idx="17">
                  <c:v>6400</c:v>
                </c:pt>
                <c:pt idx="18">
                  <c:v>6600</c:v>
                </c:pt>
                <c:pt idx="19">
                  <c:v>6800</c:v>
                </c:pt>
                <c:pt idx="20">
                  <c:v>7000</c:v>
                </c:pt>
              </c:numCache>
            </c:numRef>
          </c:cat>
          <c:val>
            <c:numRef>
              <c:f>STS_2!$R$5:$R$25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2050</c:v>
                </c:pt>
                <c:pt idx="11">
                  <c:v>260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75E-494E-A24F-14EA2BFCBD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3044816"/>
        <c:axId val="141249312"/>
      </c:lineChart>
      <c:catAx>
        <c:axId val="1830448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Order Quantity ($D$17)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1249312"/>
        <c:crosses val="autoZero"/>
        <c:auto val="1"/>
        <c:lblAlgn val="ctr"/>
        <c:lblOffset val="100"/>
        <c:noMultiLvlLbl val="0"/>
      </c:catAx>
      <c:valAx>
        <c:axId val="141249312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304481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STS_3!$N$1</c:f>
          <c:strCache>
            <c:ptCount val="1"/>
            <c:pt idx="0">
              <c:v>Sensitivity of $B$21 to Avg Quality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STS_3!$B$4:$L$4</c:f>
              <c:numCache>
                <c:formatCode>0.00</c:formatCode>
                <c:ptCount val="11"/>
                <c:pt idx="0">
                  <c:v>0.5</c:v>
                </c:pt>
                <c:pt idx="1">
                  <c:v>0.55000001192092896</c:v>
                </c:pt>
                <c:pt idx="2">
                  <c:v>0.60000002384185791</c:v>
                </c:pt>
                <c:pt idx="3">
                  <c:v>0.64999997615814209</c:v>
                </c:pt>
                <c:pt idx="4">
                  <c:v>0.69999998807907104</c:v>
                </c:pt>
                <c:pt idx="5">
                  <c:v>0.75</c:v>
                </c:pt>
                <c:pt idx="6">
                  <c:v>0.80000001192092896</c:v>
                </c:pt>
                <c:pt idx="7">
                  <c:v>0.85000002384185791</c:v>
                </c:pt>
                <c:pt idx="8">
                  <c:v>0.89999997615814209</c:v>
                </c:pt>
                <c:pt idx="9">
                  <c:v>0.94999998807907104</c:v>
                </c:pt>
                <c:pt idx="10">
                  <c:v>1</c:v>
                </c:pt>
              </c:numCache>
            </c:numRef>
          </c:cat>
          <c:val>
            <c:numRef>
              <c:f>STS_3!$N$5:$N$15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76-4F3B-9446-D6506049E2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491264"/>
        <c:axId val="148211680"/>
      </c:lineChart>
      <c:catAx>
        <c:axId val="16094912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Avg Quality ($D$18)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48211680"/>
        <c:crosses val="autoZero"/>
        <c:auto val="1"/>
        <c:lblAlgn val="ctr"/>
        <c:lblOffset val="100"/>
        <c:noMultiLvlLbl val="0"/>
      </c:catAx>
      <c:valAx>
        <c:axId val="148211680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49126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STS_3!$R$1</c:f>
          <c:strCache>
            <c:ptCount val="1"/>
            <c:pt idx="0">
              <c:v>Sensitivity of $B$21 to Order Quantity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STS_3!$A$5:$A$25</c:f>
              <c:numCache>
                <c:formatCode>General</c:formatCode>
                <c:ptCount val="21"/>
                <c:pt idx="0">
                  <c:v>3000</c:v>
                </c:pt>
                <c:pt idx="1">
                  <c:v>3200</c:v>
                </c:pt>
                <c:pt idx="2">
                  <c:v>3400</c:v>
                </c:pt>
                <c:pt idx="3">
                  <c:v>3600</c:v>
                </c:pt>
                <c:pt idx="4">
                  <c:v>3800</c:v>
                </c:pt>
                <c:pt idx="5">
                  <c:v>4000</c:v>
                </c:pt>
                <c:pt idx="6">
                  <c:v>4200</c:v>
                </c:pt>
                <c:pt idx="7">
                  <c:v>4400</c:v>
                </c:pt>
                <c:pt idx="8">
                  <c:v>4600</c:v>
                </c:pt>
                <c:pt idx="9">
                  <c:v>4800</c:v>
                </c:pt>
                <c:pt idx="10">
                  <c:v>5000</c:v>
                </c:pt>
                <c:pt idx="11">
                  <c:v>5200</c:v>
                </c:pt>
                <c:pt idx="12">
                  <c:v>5400</c:v>
                </c:pt>
                <c:pt idx="13">
                  <c:v>5600</c:v>
                </c:pt>
                <c:pt idx="14">
                  <c:v>5800</c:v>
                </c:pt>
                <c:pt idx="15">
                  <c:v>6000</c:v>
                </c:pt>
                <c:pt idx="16">
                  <c:v>6200</c:v>
                </c:pt>
                <c:pt idx="17">
                  <c:v>6400</c:v>
                </c:pt>
                <c:pt idx="18">
                  <c:v>6600</c:v>
                </c:pt>
                <c:pt idx="19">
                  <c:v>6800</c:v>
                </c:pt>
                <c:pt idx="20">
                  <c:v>7000</c:v>
                </c:pt>
              </c:numCache>
            </c:numRef>
          </c:cat>
          <c:val>
            <c:numRef>
              <c:f>STS_3!$R$5:$R$25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2050</c:v>
                </c:pt>
                <c:pt idx="11">
                  <c:v>260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663-48E8-A8FD-A86ECC10A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824379023"/>
        <c:axId val="148213664"/>
      </c:lineChart>
      <c:catAx>
        <c:axId val="1824379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Order Quantity ($D$17)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48213664"/>
        <c:crosses val="autoZero"/>
        <c:auto val="1"/>
        <c:lblAlgn val="ctr"/>
        <c:lblOffset val="100"/>
        <c:noMultiLvlLbl val="0"/>
      </c:catAx>
      <c:valAx>
        <c:axId val="14821366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824379023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STS_4!$S$1</c:f>
          <c:strCache>
            <c:ptCount val="1"/>
            <c:pt idx="0">
              <c:v>Sensitivity of $C$4 to S2 Units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STS_4!$B$4:$Q$4</c:f>
              <c:numCache>
                <c:formatCode>0.00</c:formatCode>
                <c:ptCount val="16"/>
                <c:pt idx="0">
                  <c:v>1500</c:v>
                </c:pt>
                <c:pt idx="1">
                  <c:v>1600</c:v>
                </c:pt>
                <c:pt idx="2">
                  <c:v>1700</c:v>
                </c:pt>
                <c:pt idx="3">
                  <c:v>1800</c:v>
                </c:pt>
                <c:pt idx="4">
                  <c:v>1900</c:v>
                </c:pt>
                <c:pt idx="5">
                  <c:v>2000</c:v>
                </c:pt>
                <c:pt idx="6">
                  <c:v>2100</c:v>
                </c:pt>
                <c:pt idx="7">
                  <c:v>2200</c:v>
                </c:pt>
                <c:pt idx="8">
                  <c:v>2300</c:v>
                </c:pt>
                <c:pt idx="9">
                  <c:v>2400</c:v>
                </c:pt>
                <c:pt idx="10">
                  <c:v>2500</c:v>
                </c:pt>
                <c:pt idx="11">
                  <c:v>2600</c:v>
                </c:pt>
                <c:pt idx="12">
                  <c:v>2700</c:v>
                </c:pt>
                <c:pt idx="13">
                  <c:v>2800</c:v>
                </c:pt>
                <c:pt idx="14">
                  <c:v>2900</c:v>
                </c:pt>
                <c:pt idx="15">
                  <c:v>3000</c:v>
                </c:pt>
              </c:numCache>
            </c:numRef>
          </c:cat>
          <c:val>
            <c:numRef>
              <c:f>STS_4!$S$5:$S$20</c:f>
              <c:numCache>
                <c:formatCode>General</c:formatCode>
                <c:ptCount val="16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E8-4546-9401-A6D9CD66E3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796511"/>
        <c:axId val="1690891295"/>
      </c:lineChart>
      <c:catAx>
        <c:axId val="17637965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S2 Units ($C$5)</a:t>
                </a:r>
              </a:p>
            </c:rich>
          </c:tx>
          <c:overlay val="0"/>
        </c:title>
        <c:numFmt formatCode="0.00" sourceLinked="1"/>
        <c:majorTickMark val="out"/>
        <c:minorTickMark val="none"/>
        <c:tickLblPos val="nextTo"/>
        <c:crossAx val="1690891295"/>
        <c:crosses val="autoZero"/>
        <c:auto val="1"/>
        <c:lblAlgn val="ctr"/>
        <c:lblOffset val="100"/>
        <c:noMultiLvlLbl val="0"/>
      </c:catAx>
      <c:valAx>
        <c:axId val="169089129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79651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STS_4!$W$1</c:f>
          <c:strCache>
            <c:ptCount val="1"/>
            <c:pt idx="0">
              <c:v>Sensitivity of $C$4 to Order Quantity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STS_4!$A$5:$A$25</c:f>
              <c:numCache>
                <c:formatCode>General</c:formatCode>
                <c:ptCount val="21"/>
                <c:pt idx="0">
                  <c:v>3000</c:v>
                </c:pt>
                <c:pt idx="1">
                  <c:v>3200</c:v>
                </c:pt>
                <c:pt idx="2">
                  <c:v>3400</c:v>
                </c:pt>
                <c:pt idx="3">
                  <c:v>3600</c:v>
                </c:pt>
                <c:pt idx="4">
                  <c:v>3800</c:v>
                </c:pt>
                <c:pt idx="5">
                  <c:v>4000</c:v>
                </c:pt>
                <c:pt idx="6">
                  <c:v>4200</c:v>
                </c:pt>
                <c:pt idx="7">
                  <c:v>4400</c:v>
                </c:pt>
                <c:pt idx="8">
                  <c:v>4600</c:v>
                </c:pt>
                <c:pt idx="9">
                  <c:v>4800</c:v>
                </c:pt>
                <c:pt idx="10">
                  <c:v>5000</c:v>
                </c:pt>
                <c:pt idx="11">
                  <c:v>5200</c:v>
                </c:pt>
                <c:pt idx="12">
                  <c:v>5400</c:v>
                </c:pt>
                <c:pt idx="13">
                  <c:v>5600</c:v>
                </c:pt>
                <c:pt idx="14">
                  <c:v>5800</c:v>
                </c:pt>
                <c:pt idx="15">
                  <c:v>6000</c:v>
                </c:pt>
                <c:pt idx="16">
                  <c:v>6200</c:v>
                </c:pt>
                <c:pt idx="17">
                  <c:v>6400</c:v>
                </c:pt>
                <c:pt idx="18">
                  <c:v>6600</c:v>
                </c:pt>
                <c:pt idx="19">
                  <c:v>6800</c:v>
                </c:pt>
                <c:pt idx="20">
                  <c:v>7000</c:v>
                </c:pt>
              </c:numCache>
            </c:numRef>
          </c:cat>
          <c:val>
            <c:numRef>
              <c:f>STS_4!$W$5:$W$25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2312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193-4BA4-A44B-DEA67DC43E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822911"/>
        <c:axId val="1690894767"/>
      </c:lineChart>
      <c:catAx>
        <c:axId val="176382291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Order Quantity ($D$17)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0894767"/>
        <c:crosses val="autoZero"/>
        <c:auto val="1"/>
        <c:lblAlgn val="ctr"/>
        <c:lblOffset val="100"/>
        <c:noMultiLvlLbl val="0"/>
      </c:catAx>
      <c:valAx>
        <c:axId val="16908947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82291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'1 way Solver table'!$K$1</c:f>
          <c:strCache>
            <c:ptCount val="1"/>
            <c:pt idx="0">
              <c:v>Sensitivity of $B$23 to Num of units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'1 way Solver table'!$A$5:$A$25</c:f>
              <c:numCache>
                <c:formatCode>General</c:formatCode>
                <c:ptCount val="21"/>
                <c:pt idx="0">
                  <c:v>3000</c:v>
                </c:pt>
                <c:pt idx="1">
                  <c:v>3200</c:v>
                </c:pt>
                <c:pt idx="2">
                  <c:v>3400</c:v>
                </c:pt>
                <c:pt idx="3">
                  <c:v>3600</c:v>
                </c:pt>
                <c:pt idx="4">
                  <c:v>3800</c:v>
                </c:pt>
                <c:pt idx="5">
                  <c:v>4000</c:v>
                </c:pt>
                <c:pt idx="6">
                  <c:v>4200</c:v>
                </c:pt>
                <c:pt idx="7">
                  <c:v>4400</c:v>
                </c:pt>
                <c:pt idx="8">
                  <c:v>4600</c:v>
                </c:pt>
                <c:pt idx="9">
                  <c:v>4800</c:v>
                </c:pt>
                <c:pt idx="10">
                  <c:v>5000</c:v>
                </c:pt>
                <c:pt idx="11">
                  <c:v>5200</c:v>
                </c:pt>
                <c:pt idx="12">
                  <c:v>5400</c:v>
                </c:pt>
                <c:pt idx="13">
                  <c:v>5600</c:v>
                </c:pt>
                <c:pt idx="14">
                  <c:v>5800</c:v>
                </c:pt>
                <c:pt idx="15">
                  <c:v>6000</c:v>
                </c:pt>
                <c:pt idx="16">
                  <c:v>6200</c:v>
                </c:pt>
                <c:pt idx="17">
                  <c:v>6400</c:v>
                </c:pt>
                <c:pt idx="18">
                  <c:v>6600</c:v>
                </c:pt>
                <c:pt idx="19">
                  <c:v>6800</c:v>
                </c:pt>
                <c:pt idx="20">
                  <c:v>7000</c:v>
                </c:pt>
              </c:numCache>
            </c:numRef>
          </c:cat>
          <c:val>
            <c:numRef>
              <c:f>'1 way Solver table'!$K$5:$K$25</c:f>
              <c:numCache>
                <c:formatCode>General</c:formatCode>
                <c:ptCount val="2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B1-4202-BFE8-DB7FBEF0BA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22858608"/>
        <c:axId val="116330384"/>
      </c:lineChart>
      <c:catAx>
        <c:axId val="1228586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Num of units ($I$17)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16330384"/>
        <c:crosses val="autoZero"/>
        <c:auto val="1"/>
        <c:lblAlgn val="ctr"/>
        <c:lblOffset val="100"/>
        <c:noMultiLvlLbl val="0"/>
      </c:catAx>
      <c:valAx>
        <c:axId val="11633038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22858608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 Way Solver table'!$N$1</c:f>
          <c:strCache>
            <c:ptCount val="1"/>
            <c:pt idx="0">
              <c:v>Sensitivity of $B$20 to Input2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 Way Solver table'!$B$4:$L$4</c:f>
              <c:numCache>
                <c:formatCode>General</c:formatCode>
                <c:ptCount val="11"/>
                <c:pt idx="0">
                  <c:v>11</c:v>
                </c:pt>
                <c:pt idx="1">
                  <c:v>11.5</c:v>
                </c:pt>
                <c:pt idx="2">
                  <c:v>12</c:v>
                </c:pt>
                <c:pt idx="3">
                  <c:v>12.5</c:v>
                </c:pt>
                <c:pt idx="4">
                  <c:v>13</c:v>
                </c:pt>
                <c:pt idx="5">
                  <c:v>13.5</c:v>
                </c:pt>
                <c:pt idx="6">
                  <c:v>14</c:v>
                </c:pt>
                <c:pt idx="7">
                  <c:v>14.5</c:v>
                </c:pt>
                <c:pt idx="8">
                  <c:v>15</c:v>
                </c:pt>
                <c:pt idx="9">
                  <c:v>15.5</c:v>
                </c:pt>
                <c:pt idx="10">
                  <c:v>16</c:v>
                </c:pt>
              </c:numCache>
            </c:numRef>
          </c:cat>
          <c:val>
            <c:numRef>
              <c:f>'2 Way Solver table'!$N$5:$N$15</c:f>
              <c:numCache>
                <c:formatCode>General</c:formatCode>
                <c:ptCount val="11"/>
                <c:pt idx="0">
                  <c:v>11.65</c:v>
                </c:pt>
                <c:pt idx="1">
                  <c:v>11.9</c:v>
                </c:pt>
                <c:pt idx="2">
                  <c:v>12.15</c:v>
                </c:pt>
                <c:pt idx="3">
                  <c:v>12.400000000000002</c:v>
                </c:pt>
                <c:pt idx="4">
                  <c:v>12.650000000000002</c:v>
                </c:pt>
                <c:pt idx="5">
                  <c:v>12.900000000000002</c:v>
                </c:pt>
                <c:pt idx="6">
                  <c:v>13.150000000000004</c:v>
                </c:pt>
                <c:pt idx="7">
                  <c:v>13.376543209876539</c:v>
                </c:pt>
                <c:pt idx="8">
                  <c:v>13.598765432098771</c:v>
                </c:pt>
                <c:pt idx="9">
                  <c:v>13.820987654320987</c:v>
                </c:pt>
                <c:pt idx="10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F0F-488B-8FBB-EC9BFA9A3F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270479"/>
        <c:axId val="1689297455"/>
      </c:lineChart>
      <c:catAx>
        <c:axId val="141427047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Input2 ($F$4)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89297455"/>
        <c:crosses val="autoZero"/>
        <c:auto val="1"/>
        <c:lblAlgn val="ctr"/>
        <c:lblOffset val="100"/>
        <c:noMultiLvlLbl val="0"/>
      </c:catAx>
      <c:valAx>
        <c:axId val="168929745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427047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'2 Way Solver table'!$R$1</c:f>
          <c:strCache>
            <c:ptCount val="1"/>
            <c:pt idx="0">
              <c:v>Sensitivity of $B$20 to Input1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'2 Way Solver table'!$A$5:$A$25</c:f>
              <c:numCache>
                <c:formatCode>General</c:formatCode>
                <c:ptCount val="21"/>
                <c:pt idx="0">
                  <c:v>3000</c:v>
                </c:pt>
                <c:pt idx="1">
                  <c:v>3200</c:v>
                </c:pt>
                <c:pt idx="2">
                  <c:v>3400</c:v>
                </c:pt>
                <c:pt idx="3">
                  <c:v>3600</c:v>
                </c:pt>
                <c:pt idx="4">
                  <c:v>3800</c:v>
                </c:pt>
                <c:pt idx="5">
                  <c:v>4000</c:v>
                </c:pt>
                <c:pt idx="6">
                  <c:v>4200</c:v>
                </c:pt>
                <c:pt idx="7">
                  <c:v>4400</c:v>
                </c:pt>
                <c:pt idx="8">
                  <c:v>4600</c:v>
                </c:pt>
                <c:pt idx="9">
                  <c:v>4800</c:v>
                </c:pt>
                <c:pt idx="10">
                  <c:v>5000</c:v>
                </c:pt>
                <c:pt idx="11">
                  <c:v>5200</c:v>
                </c:pt>
                <c:pt idx="12">
                  <c:v>5400</c:v>
                </c:pt>
                <c:pt idx="13">
                  <c:v>5600</c:v>
                </c:pt>
                <c:pt idx="14">
                  <c:v>5800</c:v>
                </c:pt>
                <c:pt idx="15">
                  <c:v>6000</c:v>
                </c:pt>
                <c:pt idx="16">
                  <c:v>6200</c:v>
                </c:pt>
                <c:pt idx="17">
                  <c:v>6400</c:v>
                </c:pt>
                <c:pt idx="18">
                  <c:v>6600</c:v>
                </c:pt>
                <c:pt idx="19">
                  <c:v>6800</c:v>
                </c:pt>
                <c:pt idx="20">
                  <c:v>7000</c:v>
                </c:pt>
              </c:numCache>
            </c:numRef>
          </c:cat>
          <c:val>
            <c:numRef>
              <c:f>'2 Way Solver table'!$R$5:$R$25</c:f>
              <c:numCache>
                <c:formatCode>General</c:formatCode>
                <c:ptCount val="21"/>
                <c:pt idx="0">
                  <c:v>11.65</c:v>
                </c:pt>
                <c:pt idx="1">
                  <c:v>11.65</c:v>
                </c:pt>
                <c:pt idx="2">
                  <c:v>11.65</c:v>
                </c:pt>
                <c:pt idx="3">
                  <c:v>11.649999999999999</c:v>
                </c:pt>
                <c:pt idx="4">
                  <c:v>11.650000000000002</c:v>
                </c:pt>
                <c:pt idx="5">
                  <c:v>11.65</c:v>
                </c:pt>
                <c:pt idx="6">
                  <c:v>11.65</c:v>
                </c:pt>
                <c:pt idx="7">
                  <c:v>11.65</c:v>
                </c:pt>
                <c:pt idx="8">
                  <c:v>11.650000000000002</c:v>
                </c:pt>
                <c:pt idx="9">
                  <c:v>11.650000000000002</c:v>
                </c:pt>
                <c:pt idx="10">
                  <c:v>11.649999999999999</c:v>
                </c:pt>
                <c:pt idx="11">
                  <c:v>11.65</c:v>
                </c:pt>
                <c:pt idx="12">
                  <c:v>11.650000000000002</c:v>
                </c:pt>
                <c:pt idx="13">
                  <c:v>11.650000000000004</c:v>
                </c:pt>
                <c:pt idx="14">
                  <c:v>11.650000000000002</c:v>
                </c:pt>
                <c:pt idx="15">
                  <c:v>11.65</c:v>
                </c:pt>
                <c:pt idx="16">
                  <c:v>11.650000000000002</c:v>
                </c:pt>
                <c:pt idx="17">
                  <c:v>11.65</c:v>
                </c:pt>
                <c:pt idx="18">
                  <c:v>11.65</c:v>
                </c:pt>
                <c:pt idx="19">
                  <c:v>11.65</c:v>
                </c:pt>
                <c:pt idx="20">
                  <c:v>11.650000000000002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5E5-4C1E-AEBD-8273CC4B716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14269039"/>
        <c:axId val="1766696335"/>
      </c:lineChart>
      <c:catAx>
        <c:axId val="141426903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Input1 ($I$17)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66696335"/>
        <c:crosses val="autoZero"/>
        <c:auto val="1"/>
        <c:lblAlgn val="ctr"/>
        <c:lblOffset val="100"/>
        <c:noMultiLvlLbl val="0"/>
      </c:catAx>
      <c:valAx>
        <c:axId val="1766696335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414269039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ILP_1S!$K$1</c:f>
          <c:strCache>
            <c:ptCount val="1"/>
            <c:pt idx="0">
              <c:v>Sensitivity of $B$21 to ORDER QUANTITY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ILP_1S!$A$5:$A$25</c:f>
              <c:numCache>
                <c:formatCode>General</c:formatCode>
                <c:ptCount val="21"/>
                <c:pt idx="0">
                  <c:v>3000</c:v>
                </c:pt>
                <c:pt idx="1">
                  <c:v>3200</c:v>
                </c:pt>
                <c:pt idx="2">
                  <c:v>3400</c:v>
                </c:pt>
                <c:pt idx="3">
                  <c:v>3600</c:v>
                </c:pt>
                <c:pt idx="4">
                  <c:v>3800</c:v>
                </c:pt>
                <c:pt idx="5">
                  <c:v>4000</c:v>
                </c:pt>
                <c:pt idx="6">
                  <c:v>4200</c:v>
                </c:pt>
                <c:pt idx="7">
                  <c:v>4400</c:v>
                </c:pt>
                <c:pt idx="8">
                  <c:v>4600</c:v>
                </c:pt>
                <c:pt idx="9">
                  <c:v>4800</c:v>
                </c:pt>
                <c:pt idx="10">
                  <c:v>5000</c:v>
                </c:pt>
                <c:pt idx="11">
                  <c:v>5200</c:v>
                </c:pt>
                <c:pt idx="12">
                  <c:v>5400</c:v>
                </c:pt>
                <c:pt idx="13">
                  <c:v>5600</c:v>
                </c:pt>
                <c:pt idx="14">
                  <c:v>5800</c:v>
                </c:pt>
                <c:pt idx="15">
                  <c:v>6000</c:v>
                </c:pt>
                <c:pt idx="16">
                  <c:v>6200</c:v>
                </c:pt>
                <c:pt idx="17">
                  <c:v>6400</c:v>
                </c:pt>
                <c:pt idx="18">
                  <c:v>6600</c:v>
                </c:pt>
                <c:pt idx="19">
                  <c:v>6800</c:v>
                </c:pt>
                <c:pt idx="20">
                  <c:v>7000</c:v>
                </c:pt>
              </c:numCache>
            </c:numRef>
          </c:cat>
          <c:val>
            <c:numRef>
              <c:f>ILP_1S!$K$5:$K$25</c:f>
              <c:numCache>
                <c:formatCode>General</c:formatCode>
                <c:ptCount val="21"/>
                <c:pt idx="0">
                  <c:v>1333</c:v>
                </c:pt>
                <c:pt idx="1">
                  <c:v>1422</c:v>
                </c:pt>
                <c:pt idx="2">
                  <c:v>1510</c:v>
                </c:pt>
                <c:pt idx="3">
                  <c:v>1602</c:v>
                </c:pt>
                <c:pt idx="4">
                  <c:v>1689</c:v>
                </c:pt>
                <c:pt idx="5">
                  <c:v>1778</c:v>
                </c:pt>
                <c:pt idx="6">
                  <c:v>1867</c:v>
                </c:pt>
                <c:pt idx="7">
                  <c:v>1957</c:v>
                </c:pt>
                <c:pt idx="8">
                  <c:v>2045</c:v>
                </c:pt>
                <c:pt idx="9">
                  <c:v>2133</c:v>
                </c:pt>
                <c:pt idx="10">
                  <c:v>2222</c:v>
                </c:pt>
                <c:pt idx="11">
                  <c:v>2312</c:v>
                </c:pt>
                <c:pt idx="12">
                  <c:v>2403</c:v>
                </c:pt>
                <c:pt idx="13">
                  <c:v>2489</c:v>
                </c:pt>
                <c:pt idx="14">
                  <c:v>2578</c:v>
                </c:pt>
                <c:pt idx="15">
                  <c:v>2667</c:v>
                </c:pt>
                <c:pt idx="16">
                  <c:v>2756</c:v>
                </c:pt>
                <c:pt idx="17">
                  <c:v>2845</c:v>
                </c:pt>
                <c:pt idx="18">
                  <c:v>2933</c:v>
                </c:pt>
                <c:pt idx="19">
                  <c:v>3022</c:v>
                </c:pt>
                <c:pt idx="20">
                  <c:v>3111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CBB-4B8C-9B58-B86A87A9AC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09862544"/>
        <c:axId val="1773820399"/>
      </c:lineChart>
      <c:catAx>
        <c:axId val="160986254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ORDER QUANTITY ($I$17)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773820399"/>
        <c:crosses val="autoZero"/>
        <c:auto val="1"/>
        <c:lblAlgn val="ctr"/>
        <c:lblOffset val="100"/>
        <c:noMultiLvlLbl val="0"/>
      </c:catAx>
      <c:valAx>
        <c:axId val="1773820399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609862544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ILP_2S!$S$1</c:f>
          <c:strCache>
            <c:ptCount val="1"/>
            <c:pt idx="0">
              <c:v>Sensitivity of $G$21 to Input2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ILP_2S!$B$4:$Q$4</c:f>
              <c:numCache>
                <c:formatCode>0</c:formatCode>
                <c:ptCount val="16"/>
                <c:pt idx="0">
                  <c:v>0</c:v>
                </c:pt>
                <c:pt idx="1">
                  <c:v>200</c:v>
                </c:pt>
                <c:pt idx="2">
                  <c:v>400</c:v>
                </c:pt>
                <c:pt idx="3">
                  <c:v>600</c:v>
                </c:pt>
                <c:pt idx="4">
                  <c:v>800</c:v>
                </c:pt>
                <c:pt idx="5">
                  <c:v>1000</c:v>
                </c:pt>
                <c:pt idx="6">
                  <c:v>1200</c:v>
                </c:pt>
                <c:pt idx="7">
                  <c:v>1400</c:v>
                </c:pt>
                <c:pt idx="8">
                  <c:v>1600</c:v>
                </c:pt>
                <c:pt idx="9">
                  <c:v>1800</c:v>
                </c:pt>
                <c:pt idx="10">
                  <c:v>2000</c:v>
                </c:pt>
                <c:pt idx="11">
                  <c:v>2200</c:v>
                </c:pt>
                <c:pt idx="12">
                  <c:v>2400</c:v>
                </c:pt>
                <c:pt idx="13">
                  <c:v>2600</c:v>
                </c:pt>
                <c:pt idx="14">
                  <c:v>2800</c:v>
                </c:pt>
                <c:pt idx="15">
                  <c:v>3000</c:v>
                </c:pt>
              </c:numCache>
            </c:numRef>
          </c:cat>
          <c:val>
            <c:numRef>
              <c:f>ILP_2S!$S$5:$S$20</c:f>
              <c:numCache>
                <c:formatCode>General</c:formatCode>
                <c:ptCount val="16"/>
                <c:pt idx="0">
                  <c:v>1333</c:v>
                </c:pt>
                <c:pt idx="1">
                  <c:v>1333</c:v>
                </c:pt>
                <c:pt idx="2">
                  <c:v>1333</c:v>
                </c:pt>
                <c:pt idx="3">
                  <c:v>1333</c:v>
                </c:pt>
                <c:pt idx="4">
                  <c:v>1333</c:v>
                </c:pt>
                <c:pt idx="5">
                  <c:v>1333</c:v>
                </c:pt>
                <c:pt idx="6">
                  <c:v>1333</c:v>
                </c:pt>
                <c:pt idx="7">
                  <c:v>1333</c:v>
                </c:pt>
                <c:pt idx="8">
                  <c:v>1333</c:v>
                </c:pt>
                <c:pt idx="9">
                  <c:v>1333</c:v>
                </c:pt>
                <c:pt idx="10">
                  <c:v>1333</c:v>
                </c:pt>
                <c:pt idx="11">
                  <c:v>1333</c:v>
                </c:pt>
                <c:pt idx="12">
                  <c:v>1333</c:v>
                </c:pt>
                <c:pt idx="13">
                  <c:v>1333</c:v>
                </c:pt>
                <c:pt idx="14">
                  <c:v>1333</c:v>
                </c:pt>
                <c:pt idx="15">
                  <c:v>1333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0F-4229-9D2A-200E5927FA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803231"/>
        <c:axId val="1690907167"/>
      </c:lineChart>
      <c:catAx>
        <c:axId val="17638032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Input2 ($C$5)</a:t>
                </a:r>
              </a:p>
            </c:rich>
          </c:tx>
          <c:overlay val="0"/>
        </c:title>
        <c:numFmt formatCode="0" sourceLinked="1"/>
        <c:majorTickMark val="out"/>
        <c:minorTickMark val="none"/>
        <c:tickLblPos val="nextTo"/>
        <c:crossAx val="1690907167"/>
        <c:crosses val="autoZero"/>
        <c:auto val="1"/>
        <c:lblAlgn val="ctr"/>
        <c:lblOffset val="100"/>
        <c:noMultiLvlLbl val="0"/>
      </c:catAx>
      <c:valAx>
        <c:axId val="1690907167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80323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ILP_2S!$W$1</c:f>
          <c:strCache>
            <c:ptCount val="1"/>
            <c:pt idx="0">
              <c:v>Sensitivity of $G$21 to Input1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ILP_2S!$A$5:$A$25</c:f>
              <c:numCache>
                <c:formatCode>General</c:formatCode>
                <c:ptCount val="21"/>
                <c:pt idx="0">
                  <c:v>3000</c:v>
                </c:pt>
                <c:pt idx="1">
                  <c:v>3200</c:v>
                </c:pt>
                <c:pt idx="2">
                  <c:v>3400</c:v>
                </c:pt>
                <c:pt idx="3">
                  <c:v>3600</c:v>
                </c:pt>
                <c:pt idx="4">
                  <c:v>3800</c:v>
                </c:pt>
                <c:pt idx="5">
                  <c:v>4000</c:v>
                </c:pt>
                <c:pt idx="6">
                  <c:v>4200</c:v>
                </c:pt>
                <c:pt idx="7">
                  <c:v>4400</c:v>
                </c:pt>
                <c:pt idx="8">
                  <c:v>4600</c:v>
                </c:pt>
                <c:pt idx="9">
                  <c:v>4800</c:v>
                </c:pt>
                <c:pt idx="10">
                  <c:v>5000</c:v>
                </c:pt>
                <c:pt idx="11">
                  <c:v>5200</c:v>
                </c:pt>
                <c:pt idx="12">
                  <c:v>5400</c:v>
                </c:pt>
                <c:pt idx="13">
                  <c:v>5600</c:v>
                </c:pt>
                <c:pt idx="14">
                  <c:v>5800</c:v>
                </c:pt>
                <c:pt idx="15">
                  <c:v>6000</c:v>
                </c:pt>
                <c:pt idx="16">
                  <c:v>6200</c:v>
                </c:pt>
                <c:pt idx="17">
                  <c:v>6400</c:v>
                </c:pt>
                <c:pt idx="18">
                  <c:v>6600</c:v>
                </c:pt>
                <c:pt idx="19">
                  <c:v>6800</c:v>
                </c:pt>
                <c:pt idx="20">
                  <c:v>7000</c:v>
                </c:pt>
              </c:numCache>
            </c:numRef>
          </c:cat>
          <c:val>
            <c:numRef>
              <c:f>ILP_2S!$W$5:$W$25</c:f>
              <c:numCache>
                <c:formatCode>General</c:formatCode>
                <c:ptCount val="21"/>
                <c:pt idx="0">
                  <c:v>1333</c:v>
                </c:pt>
                <c:pt idx="1">
                  <c:v>1422</c:v>
                </c:pt>
                <c:pt idx="2">
                  <c:v>1510</c:v>
                </c:pt>
                <c:pt idx="3">
                  <c:v>1602</c:v>
                </c:pt>
                <c:pt idx="4">
                  <c:v>1689</c:v>
                </c:pt>
                <c:pt idx="5">
                  <c:v>1778</c:v>
                </c:pt>
                <c:pt idx="6">
                  <c:v>1867</c:v>
                </c:pt>
                <c:pt idx="7">
                  <c:v>1957</c:v>
                </c:pt>
                <c:pt idx="8">
                  <c:v>2045</c:v>
                </c:pt>
                <c:pt idx="9">
                  <c:v>2133</c:v>
                </c:pt>
                <c:pt idx="10">
                  <c:v>2222</c:v>
                </c:pt>
                <c:pt idx="11">
                  <c:v>2312</c:v>
                </c:pt>
                <c:pt idx="12">
                  <c:v>2403</c:v>
                </c:pt>
                <c:pt idx="13">
                  <c:v>2489</c:v>
                </c:pt>
                <c:pt idx="14">
                  <c:v>2578</c:v>
                </c:pt>
                <c:pt idx="15">
                  <c:v>2667</c:v>
                </c:pt>
                <c:pt idx="16">
                  <c:v>2756</c:v>
                </c:pt>
                <c:pt idx="17">
                  <c:v>2845</c:v>
                </c:pt>
                <c:pt idx="18">
                  <c:v>2933</c:v>
                </c:pt>
                <c:pt idx="19">
                  <c:v>3022</c:v>
                </c:pt>
                <c:pt idx="20">
                  <c:v>3111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CA-409F-823B-6926D32F149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63807071"/>
        <c:axId val="1690882863"/>
      </c:lineChart>
      <c:catAx>
        <c:axId val="17638070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Input1 ($I$17)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690882863"/>
        <c:crosses val="autoZero"/>
        <c:auto val="1"/>
        <c:lblAlgn val="ctr"/>
        <c:lblOffset val="100"/>
        <c:noMultiLvlLbl val="0"/>
      </c:catAx>
      <c:valAx>
        <c:axId val="1690882863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63807071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STS_1!$K$1</c:f>
          <c:strCache>
            <c:ptCount val="1"/>
            <c:pt idx="0">
              <c:v>Sensitivity of $B$11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STS_1!$A$5:$A$15</c:f>
              <c:numCache>
                <c:formatCode>General</c:formatCode>
                <c:ptCount val="11"/>
                <c:pt idx="0">
                  <c:v>4000</c:v>
                </c:pt>
                <c:pt idx="1">
                  <c:v>4200</c:v>
                </c:pt>
                <c:pt idx="2">
                  <c:v>4400</c:v>
                </c:pt>
                <c:pt idx="3">
                  <c:v>4600</c:v>
                </c:pt>
                <c:pt idx="4">
                  <c:v>4800</c:v>
                </c:pt>
                <c:pt idx="5">
                  <c:v>5000</c:v>
                </c:pt>
                <c:pt idx="6">
                  <c:v>5200</c:v>
                </c:pt>
                <c:pt idx="7">
                  <c:v>5400</c:v>
                </c:pt>
                <c:pt idx="8">
                  <c:v>5600</c:v>
                </c:pt>
                <c:pt idx="9">
                  <c:v>5800</c:v>
                </c:pt>
                <c:pt idx="10">
                  <c:v>6000</c:v>
                </c:pt>
              </c:numCache>
            </c:numRef>
          </c:cat>
          <c:val>
            <c:numRef>
              <c:f>STS_1!$K$5:$K$15</c:f>
              <c:numCache>
                <c:formatCode>General</c:formatCode>
                <c:ptCount val="11"/>
                <c:pt idx="0">
                  <c:v>54395.06</c:v>
                </c:pt>
                <c:pt idx="1">
                  <c:v>57114.81</c:v>
                </c:pt>
                <c:pt idx="2">
                  <c:v>59834.57</c:v>
                </c:pt>
                <c:pt idx="3">
                  <c:v>62554.32</c:v>
                </c:pt>
                <c:pt idx="4">
                  <c:v>65274.07</c:v>
                </c:pt>
                <c:pt idx="5">
                  <c:v>67993.83</c:v>
                </c:pt>
                <c:pt idx="6">
                  <c:v>70713.58</c:v>
                </c:pt>
                <c:pt idx="7">
                  <c:v>73433.33</c:v>
                </c:pt>
                <c:pt idx="8">
                  <c:v>76153.09</c:v>
                </c:pt>
                <c:pt idx="9">
                  <c:v>78872.84</c:v>
                </c:pt>
                <c:pt idx="10">
                  <c:v>81592.59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71A-4A03-8194-1A05D6ADC5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2951776"/>
        <c:axId val="130648704"/>
      </c:lineChart>
      <c:catAx>
        <c:axId val="2029517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($I$17)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130648704"/>
        <c:crosses val="autoZero"/>
        <c:auto val="1"/>
        <c:lblAlgn val="ctr"/>
        <c:lblOffset val="100"/>
        <c:noMultiLvlLbl val="0"/>
      </c:catAx>
      <c:valAx>
        <c:axId val="130648704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2951776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strRef>
          <c:f>LP_1way!$K$1</c:f>
          <c:strCache>
            <c:ptCount val="1"/>
            <c:pt idx="0">
              <c:v>Sensitivity of $B$11 to Input</c:v>
            </c:pt>
          </c:strCache>
        </c:strRef>
      </c:tx>
      <c:overlay val="0"/>
      <c:txPr>
        <a:bodyPr/>
        <a:lstStyle/>
        <a:p>
          <a:pPr>
            <a:defRPr sz="1200"/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cat>
            <c:numRef>
              <c:f>LP_1way!$A$5:$A$35</c:f>
              <c:numCache>
                <c:formatCode>General</c:formatCode>
                <c:ptCount val="31"/>
                <c:pt idx="0">
                  <c:v>4000</c:v>
                </c:pt>
                <c:pt idx="1">
                  <c:v>4100</c:v>
                </c:pt>
                <c:pt idx="2">
                  <c:v>4200</c:v>
                </c:pt>
                <c:pt idx="3">
                  <c:v>4300</c:v>
                </c:pt>
                <c:pt idx="4">
                  <c:v>4400</c:v>
                </c:pt>
                <c:pt idx="5">
                  <c:v>4500</c:v>
                </c:pt>
                <c:pt idx="6">
                  <c:v>4600</c:v>
                </c:pt>
                <c:pt idx="7">
                  <c:v>4700</c:v>
                </c:pt>
                <c:pt idx="8">
                  <c:v>4800</c:v>
                </c:pt>
                <c:pt idx="9">
                  <c:v>4900</c:v>
                </c:pt>
                <c:pt idx="10">
                  <c:v>5000</c:v>
                </c:pt>
                <c:pt idx="11">
                  <c:v>5100</c:v>
                </c:pt>
                <c:pt idx="12">
                  <c:v>5200</c:v>
                </c:pt>
                <c:pt idx="13">
                  <c:v>5300</c:v>
                </c:pt>
                <c:pt idx="14">
                  <c:v>5400</c:v>
                </c:pt>
                <c:pt idx="15">
                  <c:v>5500</c:v>
                </c:pt>
                <c:pt idx="16">
                  <c:v>5600</c:v>
                </c:pt>
                <c:pt idx="17">
                  <c:v>5700</c:v>
                </c:pt>
                <c:pt idx="18">
                  <c:v>5800</c:v>
                </c:pt>
                <c:pt idx="19">
                  <c:v>5900</c:v>
                </c:pt>
                <c:pt idx="20">
                  <c:v>6000</c:v>
                </c:pt>
                <c:pt idx="21">
                  <c:v>6100</c:v>
                </c:pt>
                <c:pt idx="22">
                  <c:v>6200</c:v>
                </c:pt>
                <c:pt idx="23">
                  <c:v>6300</c:v>
                </c:pt>
                <c:pt idx="24">
                  <c:v>6400</c:v>
                </c:pt>
                <c:pt idx="25">
                  <c:v>6500</c:v>
                </c:pt>
                <c:pt idx="26">
                  <c:v>6600</c:v>
                </c:pt>
                <c:pt idx="27">
                  <c:v>6700</c:v>
                </c:pt>
                <c:pt idx="28">
                  <c:v>6800</c:v>
                </c:pt>
                <c:pt idx="29">
                  <c:v>6900</c:v>
                </c:pt>
                <c:pt idx="30">
                  <c:v>7000</c:v>
                </c:pt>
              </c:numCache>
            </c:numRef>
          </c:cat>
          <c:val>
            <c:numRef>
              <c:f>LP_1way!$K$5:$K$35</c:f>
              <c:numCache>
                <c:formatCode>General</c:formatCode>
                <c:ptCount val="31"/>
                <c:pt idx="0">
                  <c:v>54395.8</c:v>
                </c:pt>
                <c:pt idx="1">
                  <c:v>55756.4</c:v>
                </c:pt>
                <c:pt idx="2">
                  <c:v>57115.3</c:v>
                </c:pt>
                <c:pt idx="3">
                  <c:v>58475.9</c:v>
                </c:pt>
                <c:pt idx="4">
                  <c:v>59835.9</c:v>
                </c:pt>
                <c:pt idx="5">
                  <c:v>61200.9</c:v>
                </c:pt>
                <c:pt idx="6">
                  <c:v>62555.9</c:v>
                </c:pt>
                <c:pt idx="7">
                  <c:v>63914.3</c:v>
                </c:pt>
                <c:pt idx="8">
                  <c:v>65277.1</c:v>
                </c:pt>
                <c:pt idx="9">
                  <c:v>66635.399999999994</c:v>
                </c:pt>
                <c:pt idx="10">
                  <c:v>67996.600000000006</c:v>
                </c:pt>
                <c:pt idx="11">
                  <c:v>69354.899999999994</c:v>
                </c:pt>
                <c:pt idx="12">
                  <c:v>70714.399999999994</c:v>
                </c:pt>
                <c:pt idx="13">
                  <c:v>72074.399999999994</c:v>
                </c:pt>
                <c:pt idx="14">
                  <c:v>73436.100000000006</c:v>
                </c:pt>
                <c:pt idx="15">
                  <c:v>74793.899999999994</c:v>
                </c:pt>
                <c:pt idx="16">
                  <c:v>76153.899999999994</c:v>
                </c:pt>
                <c:pt idx="17">
                  <c:v>77514.5</c:v>
                </c:pt>
                <c:pt idx="18">
                  <c:v>78873.399999999994</c:v>
                </c:pt>
                <c:pt idx="19">
                  <c:v>80234</c:v>
                </c:pt>
                <c:pt idx="20">
                  <c:v>81592.899999999994</c:v>
                </c:pt>
                <c:pt idx="21">
                  <c:v>82954.600000000006</c:v>
                </c:pt>
                <c:pt idx="22">
                  <c:v>84314</c:v>
                </c:pt>
                <c:pt idx="23">
                  <c:v>85679.6</c:v>
                </c:pt>
                <c:pt idx="24">
                  <c:v>87033.5</c:v>
                </c:pt>
                <c:pt idx="25">
                  <c:v>88393</c:v>
                </c:pt>
                <c:pt idx="26">
                  <c:v>89754.7</c:v>
                </c:pt>
                <c:pt idx="27">
                  <c:v>91113</c:v>
                </c:pt>
                <c:pt idx="28">
                  <c:v>92474.2</c:v>
                </c:pt>
                <c:pt idx="29">
                  <c:v>93832.5</c:v>
                </c:pt>
                <c:pt idx="30">
                  <c:v>95193.1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F8-4064-9379-1406EFC8772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1676960"/>
        <c:axId val="96189168"/>
      </c:lineChart>
      <c:catAx>
        <c:axId val="17167696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Input ($I$17)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96189168"/>
        <c:crosses val="autoZero"/>
        <c:auto val="1"/>
        <c:lblAlgn val="ctr"/>
        <c:lblOffset val="100"/>
        <c:noMultiLvlLbl val="0"/>
      </c:catAx>
      <c:valAx>
        <c:axId val="96189168"/>
        <c:scaling>
          <c:orientation val="minMax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171676960"/>
        <c:crosses val="autoZero"/>
        <c:crossBetween val="between"/>
      </c:valAx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ln w="15875" cap="flat" cmpd="sng" algn="ctr">
      <a:solidFill>
        <a:schemeClr val="accent1">
          <a:lumMod val="100000"/>
        </a:schemeClr>
      </a:solidFill>
      <a:prstDash val="solid"/>
      <a:round/>
      <a:headEnd type="none" w="med" len="med"/>
      <a:tailEnd type="none" w="med" len="med"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10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7.xml"/><Relationship Id="rId1" Type="http://schemas.openxmlformats.org/officeDocument/2006/relationships/chart" Target="../charts/chart6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8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1.xml"/><Relationship Id="rId1" Type="http://schemas.openxmlformats.org/officeDocument/2006/relationships/chart" Target="../charts/chart10.xml"/></Relationships>
</file>

<file path=xl/drawings/_rels/drawing9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3.xml"/><Relationship Id="rId1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417884</xdr:colOff>
      <xdr:row>26</xdr:row>
      <xdr:rowOff>158750</xdr:rowOff>
    </xdr:from>
    <xdr:to>
      <xdr:col>17</xdr:col>
      <xdr:colOff>417884</xdr:colOff>
      <xdr:row>42</xdr:row>
      <xdr:rowOff>69850</xdr:rowOff>
    </xdr:to>
    <xdr:graphicFrame macro="">
      <xdr:nvGraphicFramePr>
        <xdr:cNvPr id="2" name="STS_5_Chart">
          <a:extLst>
            <a:ext uri="{FF2B5EF4-FFF2-40B4-BE49-F238E27FC236}">
              <a16:creationId xmlns:a16="http://schemas.microsoft.com/office/drawing/2014/main" id="{4921C7E0-3F0A-3CF4-9B34-995FBFD83A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417884</xdr:colOff>
      <xdr:row>3</xdr:row>
      <xdr:rowOff>19050</xdr:rowOff>
    </xdr:from>
    <xdr:to>
      <xdr:col>15</xdr:col>
      <xdr:colOff>417884</xdr:colOff>
      <xdr:row>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7E46EBA0-F5BE-AC7C-18DE-C97A3E7B9CC5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38100</xdr:colOff>
      <xdr:row>26</xdr:row>
      <xdr:rowOff>158750</xdr:rowOff>
    </xdr:from>
    <xdr:to>
      <xdr:col>22</xdr:col>
      <xdr:colOff>304800</xdr:colOff>
      <xdr:row>42</xdr:row>
      <xdr:rowOff>69850</xdr:rowOff>
    </xdr:to>
    <xdr:graphicFrame macro="">
      <xdr:nvGraphicFramePr>
        <xdr:cNvPr id="2" name="STS_4_Chart1">
          <a:extLst>
            <a:ext uri="{FF2B5EF4-FFF2-40B4-BE49-F238E27FC236}">
              <a16:creationId xmlns:a16="http://schemas.microsoft.com/office/drawing/2014/main" id="{69629E69-D78F-892C-2516-72AA4C94B43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23</xdr:col>
      <xdr:colOff>304800</xdr:colOff>
      <xdr:row>26</xdr:row>
      <xdr:rowOff>158750</xdr:rowOff>
    </xdr:from>
    <xdr:to>
      <xdr:col>31</xdr:col>
      <xdr:colOff>304800</xdr:colOff>
      <xdr:row>42</xdr:row>
      <xdr:rowOff>69850</xdr:rowOff>
    </xdr:to>
    <xdr:graphicFrame macro="">
      <xdr:nvGraphicFramePr>
        <xdr:cNvPr id="3" name="STS_4_Chart2">
          <a:extLst>
            <a:ext uri="{FF2B5EF4-FFF2-40B4-BE49-F238E27FC236}">
              <a16:creationId xmlns:a16="http://schemas.microsoft.com/office/drawing/2014/main" id="{04476C4D-7F33-C242-AF50-0586FA0E85C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304800</xdr:colOff>
      <xdr:row>3</xdr:row>
      <xdr:rowOff>19050</xdr:rowOff>
    </xdr:from>
    <xdr:to>
      <xdr:col>27</xdr:col>
      <xdr:colOff>304800</xdr:colOff>
      <xdr:row>9</xdr:row>
      <xdr:rowOff>76200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7B729FAA-3DF6-58E5-A6E7-F8EA9009CAEF}"/>
            </a:ext>
          </a:extLst>
        </xdr:cNvPr>
        <xdr:cNvSpPr txBox="1"/>
      </xdr:nvSpPr>
      <xdr:spPr>
        <a:xfrm>
          <a:off x="15652750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$S$4, $T$4, $W$4, and $X$4, you can chart any row (in left chart) or column (in right chart) of any table to the left.</a:t>
          </a: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12</xdr:col>
      <xdr:colOff>50693</xdr:colOff>
      <xdr:row>7</xdr:row>
      <xdr:rowOff>169513</xdr:rowOff>
    </xdr:from>
    <xdr:to>
      <xdr:col>20</xdr:col>
      <xdr:colOff>50692</xdr:colOff>
      <xdr:row>23</xdr:row>
      <xdr:rowOff>80613</xdr:rowOff>
    </xdr:to>
    <xdr:graphicFrame macro="">
      <xdr:nvGraphicFramePr>
        <xdr:cNvPr id="2" name="STS_6_Chart">
          <a:extLst>
            <a:ext uri="{FF2B5EF4-FFF2-40B4-BE49-F238E27FC236}">
              <a16:creationId xmlns:a16="http://schemas.microsoft.com/office/drawing/2014/main" id="{5156DCF5-6CE3-A0CE-E17C-E370576B29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395099</xdr:colOff>
      <xdr:row>3</xdr:row>
      <xdr:rowOff>19050</xdr:rowOff>
    </xdr:from>
    <xdr:to>
      <xdr:col>15</xdr:col>
      <xdr:colOff>395099</xdr:colOff>
      <xdr:row>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4D95F120-BC90-AFBF-EC9A-0FD15639C509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17</xdr:col>
      <xdr:colOff>19051</xdr:colOff>
      <xdr:row>22</xdr:row>
      <xdr:rowOff>63501</xdr:rowOff>
    </xdr:from>
    <xdr:to>
      <xdr:col>23</xdr:col>
      <xdr:colOff>40217</xdr:colOff>
      <xdr:row>37</xdr:row>
      <xdr:rowOff>154517</xdr:rowOff>
    </xdr:to>
    <xdr:graphicFrame macro="">
      <xdr:nvGraphicFramePr>
        <xdr:cNvPr id="2" name="STS_6_Chart1">
          <a:extLst>
            <a:ext uri="{FF2B5EF4-FFF2-40B4-BE49-F238E27FC236}">
              <a16:creationId xmlns:a16="http://schemas.microsoft.com/office/drawing/2014/main" id="{0A724121-4ED8-5A19-A5FC-DEC3D6FAB42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23</xdr:col>
      <xdr:colOff>347134</xdr:colOff>
      <xdr:row>22</xdr:row>
      <xdr:rowOff>52917</xdr:rowOff>
    </xdr:from>
    <xdr:to>
      <xdr:col>29</xdr:col>
      <xdr:colOff>368300</xdr:colOff>
      <xdr:row>37</xdr:row>
      <xdr:rowOff>143933</xdr:rowOff>
    </xdr:to>
    <xdr:graphicFrame macro="">
      <xdr:nvGraphicFramePr>
        <xdr:cNvPr id="3" name="STS_6_Chart2">
          <a:extLst>
            <a:ext uri="{FF2B5EF4-FFF2-40B4-BE49-F238E27FC236}">
              <a16:creationId xmlns:a16="http://schemas.microsoft.com/office/drawing/2014/main" id="{283A0C30-D063-B9BB-5419-61BD4EB828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19</xdr:col>
      <xdr:colOff>771659</xdr:colOff>
      <xdr:row>1</xdr:row>
      <xdr:rowOff>1163</xdr:rowOff>
    </xdr:from>
    <xdr:to>
      <xdr:col>24</xdr:col>
      <xdr:colOff>380076</xdr:colOff>
      <xdr:row>7</xdr:row>
      <xdr:rowOff>1163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E2573200-578A-EF0A-1F81-653E86457CA3}"/>
            </a:ext>
          </a:extLst>
        </xdr:cNvPr>
        <xdr:cNvSpPr txBox="1"/>
      </xdr:nvSpPr>
      <xdr:spPr>
        <a:xfrm>
          <a:off x="16235251" y="188980"/>
          <a:ext cx="3677783" cy="1350493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$N$4, $O$4, $R$4, and $S$4, you can chart any row (in left chart) or column (in right chart) of any table to the left.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438150</xdr:colOff>
      <xdr:row>26</xdr:row>
      <xdr:rowOff>158750</xdr:rowOff>
    </xdr:from>
    <xdr:to>
      <xdr:col>17</xdr:col>
      <xdr:colOff>438150</xdr:colOff>
      <xdr:row>42</xdr:row>
      <xdr:rowOff>69850</xdr:rowOff>
    </xdr:to>
    <xdr:graphicFrame macro="">
      <xdr:nvGraphicFramePr>
        <xdr:cNvPr id="2" name="STS_6_Chart">
          <a:extLst>
            <a:ext uri="{FF2B5EF4-FFF2-40B4-BE49-F238E27FC236}">
              <a16:creationId xmlns:a16="http://schemas.microsoft.com/office/drawing/2014/main" id="{5D1CC649-790C-2749-F1DA-A68741B2E8B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438150</xdr:colOff>
      <xdr:row>3</xdr:row>
      <xdr:rowOff>19050</xdr:rowOff>
    </xdr:from>
    <xdr:to>
      <xdr:col>15</xdr:col>
      <xdr:colOff>438150</xdr:colOff>
      <xdr:row>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92E63480-E7C1-09FF-151B-C239B7EDBB52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15</xdr:col>
      <xdr:colOff>38100</xdr:colOff>
      <xdr:row>26</xdr:row>
      <xdr:rowOff>158750</xdr:rowOff>
    </xdr:from>
    <xdr:to>
      <xdr:col>22</xdr:col>
      <xdr:colOff>304800</xdr:colOff>
      <xdr:row>42</xdr:row>
      <xdr:rowOff>69850</xdr:rowOff>
    </xdr:to>
    <xdr:graphicFrame macro="">
      <xdr:nvGraphicFramePr>
        <xdr:cNvPr id="2" name="STS_6_Chart1">
          <a:extLst>
            <a:ext uri="{FF2B5EF4-FFF2-40B4-BE49-F238E27FC236}">
              <a16:creationId xmlns:a16="http://schemas.microsoft.com/office/drawing/2014/main" id="{B6870914-3FDA-462A-98AF-55B4043B40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23</xdr:col>
      <xdr:colOff>304800</xdr:colOff>
      <xdr:row>26</xdr:row>
      <xdr:rowOff>158750</xdr:rowOff>
    </xdr:from>
    <xdr:to>
      <xdr:col>31</xdr:col>
      <xdr:colOff>304800</xdr:colOff>
      <xdr:row>42</xdr:row>
      <xdr:rowOff>69850</xdr:rowOff>
    </xdr:to>
    <xdr:graphicFrame macro="">
      <xdr:nvGraphicFramePr>
        <xdr:cNvPr id="3" name="STS_6_Chart2">
          <a:extLst>
            <a:ext uri="{FF2B5EF4-FFF2-40B4-BE49-F238E27FC236}">
              <a16:creationId xmlns:a16="http://schemas.microsoft.com/office/drawing/2014/main" id="{F0825B37-3AE7-8423-D2B2-B94DFCECF53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21</xdr:col>
      <xdr:colOff>304800</xdr:colOff>
      <xdr:row>3</xdr:row>
      <xdr:rowOff>19050</xdr:rowOff>
    </xdr:from>
    <xdr:to>
      <xdr:col>27</xdr:col>
      <xdr:colOff>304800</xdr:colOff>
      <xdr:row>9</xdr:row>
      <xdr:rowOff>6350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56CE4564-537C-DED5-6601-106EB04E91BE}"/>
            </a:ext>
          </a:extLst>
        </xdr:cNvPr>
        <xdr:cNvSpPr txBox="1"/>
      </xdr:nvSpPr>
      <xdr:spPr>
        <a:xfrm>
          <a:off x="15665450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$S$4, $T$4, $W$4, and $X$4, you can chart any row (in left chart) or column (in right chart) of any table to the left.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438150</xdr:colOff>
      <xdr:row>16</xdr:row>
      <xdr:rowOff>95250</xdr:rowOff>
    </xdr:from>
    <xdr:to>
      <xdr:col>17</xdr:col>
      <xdr:colOff>438150</xdr:colOff>
      <xdr:row>32</xdr:row>
      <xdr:rowOff>6350</xdr:rowOff>
    </xdr:to>
    <xdr:graphicFrame macro="">
      <xdr:nvGraphicFramePr>
        <xdr:cNvPr id="2" name="STS_1_Chart">
          <a:extLst>
            <a:ext uri="{FF2B5EF4-FFF2-40B4-BE49-F238E27FC236}">
              <a16:creationId xmlns:a16="http://schemas.microsoft.com/office/drawing/2014/main" id="{4C0C2389-ECD9-1CE3-A7C6-9C00C89CC3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438150</xdr:colOff>
      <xdr:row>3</xdr:row>
      <xdr:rowOff>19050</xdr:rowOff>
    </xdr:from>
    <xdr:to>
      <xdr:col>15</xdr:col>
      <xdr:colOff>438150</xdr:colOff>
      <xdr:row>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6D25684B-E5AF-7C6F-D367-7290EE4F8293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absolute">
    <xdr:from>
      <xdr:col>9</xdr:col>
      <xdr:colOff>438150</xdr:colOff>
      <xdr:row>37</xdr:row>
      <xdr:rowOff>38100</xdr:rowOff>
    </xdr:from>
    <xdr:to>
      <xdr:col>17</xdr:col>
      <xdr:colOff>438150</xdr:colOff>
      <xdr:row>52</xdr:row>
      <xdr:rowOff>133350</xdr:rowOff>
    </xdr:to>
    <xdr:graphicFrame macro="">
      <xdr:nvGraphicFramePr>
        <xdr:cNvPr id="2" name="STS_2_Chart">
          <a:extLst>
            <a:ext uri="{FF2B5EF4-FFF2-40B4-BE49-F238E27FC236}">
              <a16:creationId xmlns:a16="http://schemas.microsoft.com/office/drawing/2014/main" id="{BD138F47-1CD0-0CFA-3561-FA366526FAF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11</xdr:col>
      <xdr:colOff>438150</xdr:colOff>
      <xdr:row>3</xdr:row>
      <xdr:rowOff>19050</xdr:rowOff>
    </xdr:from>
    <xdr:to>
      <xdr:col>15</xdr:col>
      <xdr:colOff>438150</xdr:colOff>
      <xdr:row>6</xdr:row>
      <xdr:rowOff>0</xdr:rowOff>
    </xdr:to>
    <xdr:sp macro="" textlink="">
      <xdr:nvSpPr>
        <xdr:cNvPr id="3" name="TextBox 2">
          <a:extLst>
            <a:ext uri="{FF2B5EF4-FFF2-40B4-BE49-F238E27FC236}">
              <a16:creationId xmlns:a16="http://schemas.microsoft.com/office/drawing/2014/main" id="{D830ACEB-E8B5-EE8B-7A37-87BDED93CC10}"/>
            </a:ext>
          </a:extLst>
        </xdr:cNvPr>
        <xdr:cNvSpPr txBox="1"/>
      </xdr:nvSpPr>
      <xdr:spPr>
        <a:xfrm>
          <a:off x="7315200" y="571500"/>
          <a:ext cx="2438400" cy="7620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When you select an output from the dropdown list in cell $K$4, the chart will adapt to that output.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114300</xdr:colOff>
      <xdr:row>26</xdr:row>
      <xdr:rowOff>158750</xdr:rowOff>
    </xdr:from>
    <xdr:to>
      <xdr:col>19</xdr:col>
      <xdr:colOff>114300</xdr:colOff>
      <xdr:row>42</xdr:row>
      <xdr:rowOff>69850</xdr:rowOff>
    </xdr:to>
    <xdr:graphicFrame macro="">
      <xdr:nvGraphicFramePr>
        <xdr:cNvPr id="2" name="STS_2_Chart1">
          <a:extLst>
            <a:ext uri="{FF2B5EF4-FFF2-40B4-BE49-F238E27FC236}">
              <a16:creationId xmlns:a16="http://schemas.microsoft.com/office/drawing/2014/main" id="{46F035EF-4EAF-988F-1FFD-CB9F154A086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114300</xdr:colOff>
      <xdr:row>26</xdr:row>
      <xdr:rowOff>158750</xdr:rowOff>
    </xdr:from>
    <xdr:to>
      <xdr:col>28</xdr:col>
      <xdr:colOff>114300</xdr:colOff>
      <xdr:row>42</xdr:row>
      <xdr:rowOff>69850</xdr:rowOff>
    </xdr:to>
    <xdr:graphicFrame macro="">
      <xdr:nvGraphicFramePr>
        <xdr:cNvPr id="3" name="STS_2_Chart2">
          <a:extLst>
            <a:ext uri="{FF2B5EF4-FFF2-40B4-BE49-F238E27FC236}">
              <a16:creationId xmlns:a16="http://schemas.microsoft.com/office/drawing/2014/main" id="{7D414399-232F-2EF4-679E-35A2E7859A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18</xdr:col>
      <xdr:colOff>114300</xdr:colOff>
      <xdr:row>3</xdr:row>
      <xdr:rowOff>19050</xdr:rowOff>
    </xdr:from>
    <xdr:to>
      <xdr:col>24</xdr:col>
      <xdr:colOff>114300</xdr:colOff>
      <xdr:row>9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3267DB2F-61C3-8988-C805-F9058D869A99}"/>
            </a:ext>
          </a:extLst>
        </xdr:cNvPr>
        <xdr:cNvSpPr txBox="1"/>
      </xdr:nvSpPr>
      <xdr:spPr>
        <a:xfrm>
          <a:off x="12604750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$N$4, $O$4, $R$4, and $S$4, you can chart any row (in left chart) or column (in right chart) of any table to the left.</a:t>
          </a: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 editAs="absolute">
    <xdr:from>
      <xdr:col>11</xdr:col>
      <xdr:colOff>114300</xdr:colOff>
      <xdr:row>26</xdr:row>
      <xdr:rowOff>158750</xdr:rowOff>
    </xdr:from>
    <xdr:to>
      <xdr:col>19</xdr:col>
      <xdr:colOff>114300</xdr:colOff>
      <xdr:row>42</xdr:row>
      <xdr:rowOff>69850</xdr:rowOff>
    </xdr:to>
    <xdr:graphicFrame macro="">
      <xdr:nvGraphicFramePr>
        <xdr:cNvPr id="2" name="STS_3_Chart1">
          <a:extLst>
            <a:ext uri="{FF2B5EF4-FFF2-40B4-BE49-F238E27FC236}">
              <a16:creationId xmlns:a16="http://schemas.microsoft.com/office/drawing/2014/main" id="{E670DC6A-F625-E1F0-3703-4F8FB75946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20</xdr:col>
      <xdr:colOff>114300</xdr:colOff>
      <xdr:row>26</xdr:row>
      <xdr:rowOff>158750</xdr:rowOff>
    </xdr:from>
    <xdr:to>
      <xdr:col>28</xdr:col>
      <xdr:colOff>114300</xdr:colOff>
      <xdr:row>42</xdr:row>
      <xdr:rowOff>69850</xdr:rowOff>
    </xdr:to>
    <xdr:graphicFrame macro="">
      <xdr:nvGraphicFramePr>
        <xdr:cNvPr id="3" name="STS_3_Chart2">
          <a:extLst>
            <a:ext uri="{FF2B5EF4-FFF2-40B4-BE49-F238E27FC236}">
              <a16:creationId xmlns:a16="http://schemas.microsoft.com/office/drawing/2014/main" id="{348F45DA-5CD6-0641-D876-00CC3C15F5B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18</xdr:col>
      <xdr:colOff>114300</xdr:colOff>
      <xdr:row>3</xdr:row>
      <xdr:rowOff>19050</xdr:rowOff>
    </xdr:from>
    <xdr:to>
      <xdr:col>24</xdr:col>
      <xdr:colOff>114300</xdr:colOff>
      <xdr:row>9</xdr:row>
      <xdr:rowOff>19050</xdr:rowOff>
    </xdr:to>
    <xdr:sp macro="" textlink="">
      <xdr:nvSpPr>
        <xdr:cNvPr id="4" name="TextBox 3">
          <a:extLst>
            <a:ext uri="{FF2B5EF4-FFF2-40B4-BE49-F238E27FC236}">
              <a16:creationId xmlns:a16="http://schemas.microsoft.com/office/drawing/2014/main" id="{644FF92C-9222-A235-4EF4-4A3268045ADF}"/>
            </a:ext>
          </a:extLst>
        </xdr:cNvPr>
        <xdr:cNvSpPr txBox="1"/>
      </xdr:nvSpPr>
      <xdr:spPr>
        <a:xfrm>
          <a:off x="12604750" y="571500"/>
          <a:ext cx="3657600" cy="1333500"/>
        </a:xfrm>
        <a:prstGeom prst="rect">
          <a:avLst/>
        </a:prstGeom>
        <a:solidFill>
          <a:schemeClr val="lt1"/>
        </a:solidFill>
        <a:ln w="15875" cap="flat" cmpd="sng" algn="ctr">
          <a:solidFill>
            <a:schemeClr val="accent1">
              <a:lumMod val="100000"/>
            </a:schemeClr>
          </a:solidFill>
          <a:prstDash val="solid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vert="horz" rtlCol="0" anchor="t"/>
        <a:lstStyle/>
        <a:p>
          <a:r>
            <a:rPr lang="en-US" sz="1100"/>
            <a:t>By making appropriate selections in cells $N$4, $O$4, $R$4, and $S$4, you can chart any row (in left chart) or column (in right chart) of any table to the left.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4.x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drawing" Target="../drawings/drawing5.xml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drawing" Target="../drawings/drawing6.xml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drawing" Target="../drawings/drawing7.xml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drawing" Target="../drawings/drawing8.xml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drawing" Target="../drawings/drawing9.x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drawing" Target="../drawings/drawing10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0D5A3F-0F1D-4027-A800-4B803E8E66B2}">
  <dimension ref="A1:H24"/>
  <sheetViews>
    <sheetView showGridLines="0" topLeftCell="A9" workbookViewId="0">
      <selection activeCell="E17" sqref="E17"/>
    </sheetView>
  </sheetViews>
  <sheetFormatPr defaultRowHeight="14.5" x14ac:dyDescent="0.35"/>
  <cols>
    <col min="1" max="1" width="2.1796875" customWidth="1"/>
    <col min="2" max="2" width="5.90625" bestFit="1" customWidth="1"/>
    <col min="3" max="3" width="24.6328125" bestFit="1" customWidth="1"/>
    <col min="4" max="4" width="11.81640625" bestFit="1" customWidth="1"/>
    <col min="5" max="5" width="12.453125" bestFit="1" customWidth="1"/>
    <col min="6" max="8" width="11.81640625" bestFit="1" customWidth="1"/>
  </cols>
  <sheetData>
    <row r="1" spans="1:8" x14ac:dyDescent="0.35">
      <c r="A1" s="6" t="s">
        <v>26</v>
      </c>
    </row>
    <row r="2" spans="1:8" x14ac:dyDescent="0.35">
      <c r="A2" s="6" t="s">
        <v>139</v>
      </c>
    </row>
    <row r="3" spans="1:8" x14ac:dyDescent="0.35">
      <c r="A3" s="6" t="s">
        <v>140</v>
      </c>
    </row>
    <row r="6" spans="1:8" ht="15" thickBot="1" x14ac:dyDescent="0.4">
      <c r="A6" t="s">
        <v>27</v>
      </c>
    </row>
    <row r="7" spans="1:8" x14ac:dyDescent="0.35">
      <c r="B7" s="9"/>
      <c r="C7" s="9"/>
      <c r="D7" s="9" t="s">
        <v>30</v>
      </c>
      <c r="E7" s="9" t="s">
        <v>32</v>
      </c>
      <c r="F7" s="9" t="s">
        <v>34</v>
      </c>
      <c r="G7" s="9" t="s">
        <v>36</v>
      </c>
      <c r="H7" s="9" t="s">
        <v>36</v>
      </c>
    </row>
    <row r="8" spans="1:8" ht="15" thickBot="1" x14ac:dyDescent="0.4">
      <c r="B8" s="10" t="s">
        <v>28</v>
      </c>
      <c r="C8" s="10" t="s">
        <v>29</v>
      </c>
      <c r="D8" s="10" t="s">
        <v>31</v>
      </c>
      <c r="E8" s="10" t="s">
        <v>33</v>
      </c>
      <c r="F8" s="10" t="s">
        <v>35</v>
      </c>
      <c r="G8" s="10" t="s">
        <v>37</v>
      </c>
      <c r="H8" s="10" t="s">
        <v>38</v>
      </c>
    </row>
    <row r="9" spans="1:8" x14ac:dyDescent="0.35">
      <c r="B9" s="7" t="s">
        <v>43</v>
      </c>
      <c r="C9" s="7" t="s">
        <v>44</v>
      </c>
      <c r="D9" s="7">
        <v>2311.1109733581579</v>
      </c>
      <c r="E9" s="7">
        <v>0</v>
      </c>
      <c r="F9" s="7">
        <v>15</v>
      </c>
      <c r="G9" s="7">
        <v>1.4377777777777561</v>
      </c>
      <c r="H9" s="7">
        <v>0.9222222222222104</v>
      </c>
    </row>
    <row r="10" spans="1:8" x14ac:dyDescent="0.35">
      <c r="B10" s="7" t="s">
        <v>45</v>
      </c>
      <c r="C10" s="7" t="s">
        <v>46</v>
      </c>
      <c r="D10" s="7">
        <v>2567.9012192620098</v>
      </c>
      <c r="E10" s="7">
        <v>0</v>
      </c>
      <c r="F10" s="7">
        <v>12.3</v>
      </c>
      <c r="G10" s="7">
        <v>1.5780487804877916</v>
      </c>
      <c r="H10" s="7">
        <v>8.2999999999992173</v>
      </c>
    </row>
    <row r="11" spans="1:8" x14ac:dyDescent="0.35">
      <c r="B11" s="7" t="s">
        <v>47</v>
      </c>
      <c r="C11" s="7" t="s">
        <v>48</v>
      </c>
      <c r="D11" s="7">
        <v>0</v>
      </c>
      <c r="E11" s="7">
        <v>0.79876543209875495</v>
      </c>
      <c r="F11" s="7">
        <v>14.499999999999996</v>
      </c>
      <c r="G11" s="7">
        <v>1E+30</v>
      </c>
      <c r="H11" s="7">
        <v>0.79876543209875495</v>
      </c>
    </row>
    <row r="12" spans="1:8" ht="15" thickBot="1" x14ac:dyDescent="0.4">
      <c r="B12" s="8" t="s">
        <v>49</v>
      </c>
      <c r="C12" s="8" t="s">
        <v>50</v>
      </c>
      <c r="D12" s="8">
        <v>320.98780737983157</v>
      </c>
      <c r="E12" s="8">
        <v>0</v>
      </c>
      <c r="F12" s="8">
        <v>13.899999999999999</v>
      </c>
      <c r="G12" s="8">
        <v>0.82999999999998253</v>
      </c>
      <c r="H12" s="8">
        <v>1.6000000000000034</v>
      </c>
    </row>
    <row r="14" spans="1:8" ht="15" thickBot="1" x14ac:dyDescent="0.4">
      <c r="A14" t="s">
        <v>16</v>
      </c>
    </row>
    <row r="15" spans="1:8" x14ac:dyDescent="0.35">
      <c r="B15" s="9"/>
      <c r="C15" s="9"/>
      <c r="D15" s="9" t="s">
        <v>30</v>
      </c>
      <c r="E15" s="9" t="s">
        <v>39</v>
      </c>
      <c r="F15" s="9" t="s">
        <v>41</v>
      </c>
      <c r="G15" s="9" t="s">
        <v>36</v>
      </c>
      <c r="H15" s="9" t="s">
        <v>36</v>
      </c>
    </row>
    <row r="16" spans="1:8" ht="15" thickBot="1" x14ac:dyDescent="0.4">
      <c r="B16" s="10" t="s">
        <v>28</v>
      </c>
      <c r="C16" s="10" t="s">
        <v>29</v>
      </c>
      <c r="D16" s="10" t="s">
        <v>31</v>
      </c>
      <c r="E16" s="10" t="s">
        <v>40</v>
      </c>
      <c r="F16" s="10" t="s">
        <v>42</v>
      </c>
      <c r="G16" s="10" t="s">
        <v>37</v>
      </c>
      <c r="H16" s="10" t="s">
        <v>38</v>
      </c>
    </row>
    <row r="17" spans="2:8" x14ac:dyDescent="0.35">
      <c r="B17" s="7" t="s">
        <v>113</v>
      </c>
      <c r="C17" s="7" t="s">
        <v>51</v>
      </c>
      <c r="D17" s="7">
        <v>5200</v>
      </c>
      <c r="E17" s="7">
        <v>-12.033333333333287</v>
      </c>
      <c r="F17" s="7">
        <v>5200</v>
      </c>
      <c r="G17" s="7">
        <v>3.6338242344894178</v>
      </c>
      <c r="H17" s="7">
        <v>27.513240632556357</v>
      </c>
    </row>
    <row r="18" spans="2:8" x14ac:dyDescent="0.35">
      <c r="B18" s="7" t="s">
        <v>114</v>
      </c>
      <c r="C18" s="7" t="s">
        <v>52</v>
      </c>
      <c r="D18" s="7">
        <v>0.93999999761581421</v>
      </c>
      <c r="E18" s="7">
        <v>53283.950617283168</v>
      </c>
      <c r="F18" s="7">
        <v>0.93999999761581421</v>
      </c>
      <c r="G18" s="7">
        <v>5.0000023841857326E-3</v>
      </c>
      <c r="H18" s="7">
        <v>3.5499997615813933E-2</v>
      </c>
    </row>
    <row r="19" spans="2:8" x14ac:dyDescent="0.35">
      <c r="B19" s="7" t="s">
        <v>115</v>
      </c>
      <c r="C19" s="7" t="s">
        <v>53</v>
      </c>
      <c r="D19" s="7">
        <v>0.9</v>
      </c>
      <c r="E19" s="7">
        <f>92444.444444445/5200</f>
        <v>17.777777777777885</v>
      </c>
      <c r="F19" s="7">
        <v>0.9</v>
      </c>
      <c r="G19" s="7">
        <v>2.2569445818662118E-2</v>
      </c>
      <c r="H19" s="7">
        <v>5.5555582046520348E-4</v>
      </c>
    </row>
    <row r="20" spans="2:8" x14ac:dyDescent="0.35">
      <c r="B20" s="7" t="s">
        <v>55</v>
      </c>
      <c r="C20" s="7" t="s">
        <v>54</v>
      </c>
      <c r="D20" s="7">
        <v>13.598765407668221</v>
      </c>
      <c r="E20" s="7">
        <v>0</v>
      </c>
      <c r="F20" s="7">
        <v>14</v>
      </c>
      <c r="G20" s="7">
        <v>1E+30</v>
      </c>
      <c r="H20" s="7">
        <v>0.40123459233177522</v>
      </c>
    </row>
    <row r="21" spans="2:8" x14ac:dyDescent="0.35">
      <c r="B21" s="7" t="s">
        <v>86</v>
      </c>
      <c r="C21" s="7" t="s">
        <v>70</v>
      </c>
      <c r="D21" s="7">
        <v>2311.1109733581579</v>
      </c>
      <c r="E21" s="7">
        <v>0</v>
      </c>
      <c r="F21" s="7">
        <v>0</v>
      </c>
      <c r="G21" s="7">
        <v>1E+30</v>
      </c>
      <c r="H21" s="7">
        <v>288.88902664184184</v>
      </c>
    </row>
    <row r="22" spans="2:8" x14ac:dyDescent="0.35">
      <c r="B22" s="7" t="s">
        <v>87</v>
      </c>
      <c r="C22" s="7" t="s">
        <v>72</v>
      </c>
      <c r="D22" s="7">
        <v>2567.9012192620098</v>
      </c>
      <c r="E22" s="7">
        <v>0</v>
      </c>
      <c r="F22" s="7">
        <v>0</v>
      </c>
      <c r="G22" s="7">
        <v>1E+30</v>
      </c>
      <c r="H22" s="7">
        <v>32.098780737989749</v>
      </c>
    </row>
    <row r="23" spans="2:8" x14ac:dyDescent="0.35">
      <c r="B23" s="7" t="s">
        <v>88</v>
      </c>
      <c r="C23" s="7" t="s">
        <v>74</v>
      </c>
      <c r="D23" s="7">
        <v>0</v>
      </c>
      <c r="E23" s="7">
        <v>0</v>
      </c>
      <c r="F23" s="7">
        <v>0</v>
      </c>
      <c r="G23" s="7">
        <v>1E+30</v>
      </c>
      <c r="H23" s="7">
        <v>2600</v>
      </c>
    </row>
    <row r="24" spans="2:8" ht="15" thickBot="1" x14ac:dyDescent="0.4">
      <c r="B24" s="8" t="s">
        <v>89</v>
      </c>
      <c r="C24" s="8" t="s">
        <v>76</v>
      </c>
      <c r="D24" s="8">
        <v>320.98780737983157</v>
      </c>
      <c r="E24" s="8">
        <v>0</v>
      </c>
      <c r="F24" s="8">
        <v>0</v>
      </c>
      <c r="G24" s="8">
        <v>1E+30</v>
      </c>
      <c r="H24" s="8">
        <v>2279.0121926201682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2A64A4-EAEC-459E-BE92-D106DEDE2240}">
  <dimension ref="A1:AZ140"/>
  <sheetViews>
    <sheetView topLeftCell="A14" zoomScale="71" zoomScaleNormal="71" workbookViewId="0">
      <selection activeCell="R4" sqref="R4"/>
    </sheetView>
  </sheetViews>
  <sheetFormatPr defaultColWidth="11.6328125" defaultRowHeight="14.5" x14ac:dyDescent="0.35"/>
  <sheetData>
    <row r="1" spans="1:52" x14ac:dyDescent="0.35">
      <c r="A1" s="6" t="s">
        <v>137</v>
      </c>
      <c r="N1" s="21" t="str">
        <f>CONCATENATE("Sensitivity of ",$N$4," to ","Input2")</f>
        <v>Sensitivity of $B$20 to Input2</v>
      </c>
      <c r="R1" s="21" t="str">
        <f>CONCATENATE("Sensitivity of ",$R$4," to ","Input1")</f>
        <v>Sensitivity of $B$20 to Input1</v>
      </c>
    </row>
    <row r="2" spans="1:52" x14ac:dyDescent="0.35">
      <c r="N2" t="s">
        <v>126</v>
      </c>
      <c r="R2" t="s">
        <v>128</v>
      </c>
      <c r="AZ2" t="s">
        <v>86</v>
      </c>
    </row>
    <row r="3" spans="1:52" x14ac:dyDescent="0.35">
      <c r="A3" t="s">
        <v>138</v>
      </c>
      <c r="N3" t="s">
        <v>103</v>
      </c>
      <c r="O3" t="s">
        <v>127</v>
      </c>
      <c r="R3" t="s">
        <v>103</v>
      </c>
      <c r="S3" t="s">
        <v>129</v>
      </c>
      <c r="AZ3" t="s">
        <v>87</v>
      </c>
    </row>
    <row r="4" spans="1:52" ht="32.5" x14ac:dyDescent="0.35">
      <c r="A4" s="43" t="s">
        <v>86</v>
      </c>
      <c r="B4">
        <v>11</v>
      </c>
      <c r="C4">
        <v>11.5</v>
      </c>
      <c r="D4">
        <v>12</v>
      </c>
      <c r="E4">
        <v>12.5</v>
      </c>
      <c r="F4">
        <v>13</v>
      </c>
      <c r="G4">
        <v>13.5</v>
      </c>
      <c r="H4">
        <v>14</v>
      </c>
      <c r="I4">
        <v>14.5</v>
      </c>
      <c r="J4">
        <v>15</v>
      </c>
      <c r="K4">
        <v>15.5</v>
      </c>
      <c r="L4">
        <v>16</v>
      </c>
      <c r="M4" s="21">
        <f>MATCH($N$4,OutputAddresses,0)</f>
        <v>6</v>
      </c>
      <c r="N4" s="20" t="s">
        <v>55</v>
      </c>
      <c r="O4" s="44">
        <v>3000</v>
      </c>
      <c r="P4" s="21">
        <f>MATCH($O$4,InputValues1,0)</f>
        <v>1</v>
      </c>
      <c r="Q4" s="21">
        <f>MATCH($R$4,OutputAddresses,0)</f>
        <v>6</v>
      </c>
      <c r="R4" s="20" t="s">
        <v>55</v>
      </c>
      <c r="S4" s="44">
        <v>11</v>
      </c>
      <c r="T4" s="21">
        <f>MATCH($S$4,InputValues2,0)</f>
        <v>1</v>
      </c>
      <c r="AZ4" t="s">
        <v>88</v>
      </c>
    </row>
    <row r="5" spans="1:52" x14ac:dyDescent="0.35">
      <c r="A5">
        <v>3000</v>
      </c>
      <c r="B5" s="58">
        <v>1500.0000000000032</v>
      </c>
      <c r="C5" s="35">
        <v>1500.0000000000032</v>
      </c>
      <c r="D5" s="35">
        <v>1500.0000000000032</v>
      </c>
      <c r="E5" s="35">
        <v>1500.0000000000032</v>
      </c>
      <c r="F5" s="35">
        <v>1500.0000000000032</v>
      </c>
      <c r="G5" s="35">
        <v>1500.0000000000032</v>
      </c>
      <c r="H5" s="35">
        <v>1500.0000000000005</v>
      </c>
      <c r="I5" s="35">
        <v>1333.3333333333069</v>
      </c>
      <c r="J5" s="35">
        <v>1333.3333333333298</v>
      </c>
      <c r="K5" s="35">
        <v>1333.3333333333296</v>
      </c>
      <c r="L5" s="52" t="s">
        <v>107</v>
      </c>
      <c r="M5" s="21" t="str">
        <f>"OutputValues_"&amp;$M$4</f>
        <v>OutputValues_6</v>
      </c>
      <c r="N5">
        <f ca="1">INDEX(INDIRECT($M$5),$P$4,1)</f>
        <v>11.65</v>
      </c>
      <c r="Q5" s="21" t="str">
        <f>"OutputValues_"&amp;$Q$4</f>
        <v>OutputValues_6</v>
      </c>
      <c r="R5">
        <f ca="1">INDEX(INDIRECT($Q$5),1,$T$4)</f>
        <v>11.65</v>
      </c>
      <c r="AZ5" t="s">
        <v>89</v>
      </c>
    </row>
    <row r="6" spans="1:52" x14ac:dyDescent="0.35">
      <c r="A6">
        <v>3200</v>
      </c>
      <c r="B6" s="57">
        <v>1600.0000000000036</v>
      </c>
      <c r="C6" s="37">
        <v>1600.0000000000036</v>
      </c>
      <c r="D6" s="37">
        <v>1600.0000000000036</v>
      </c>
      <c r="E6" s="37">
        <v>1600.0000000000036</v>
      </c>
      <c r="F6" s="37">
        <v>1600.0000000000036</v>
      </c>
      <c r="G6" s="37">
        <v>1600.0000000000036</v>
      </c>
      <c r="H6" s="37">
        <v>1600.0000000000009</v>
      </c>
      <c r="I6" s="37">
        <v>1422.222222222194</v>
      </c>
      <c r="J6" s="37">
        <v>1422.2222222222188</v>
      </c>
      <c r="K6" s="37">
        <v>1422.2222222222183</v>
      </c>
      <c r="L6" s="53" t="s">
        <v>107</v>
      </c>
      <c r="N6">
        <f ca="1">INDEX(INDIRECT($M$5),$P$4,2)</f>
        <v>11.9</v>
      </c>
      <c r="R6">
        <f ca="1">INDEX(INDIRECT($Q$5),2,$T$4)</f>
        <v>11.65</v>
      </c>
      <c r="AZ6" t="s">
        <v>82</v>
      </c>
    </row>
    <row r="7" spans="1:52" x14ac:dyDescent="0.35">
      <c r="A7">
        <v>3400</v>
      </c>
      <c r="B7" s="57">
        <v>1700.0000000000039</v>
      </c>
      <c r="C7" s="37">
        <v>1700.0000000000039</v>
      </c>
      <c r="D7" s="37">
        <v>1700.0000000000039</v>
      </c>
      <c r="E7" s="37">
        <v>1700.0000000000039</v>
      </c>
      <c r="F7" s="37">
        <v>1700.0000000000039</v>
      </c>
      <c r="G7" s="37">
        <v>1700.0000000000039</v>
      </c>
      <c r="H7" s="37">
        <v>1700.0000000000009</v>
      </c>
      <c r="I7" s="37">
        <v>1511.1111111110808</v>
      </c>
      <c r="J7" s="37">
        <v>1511.1111111111072</v>
      </c>
      <c r="K7" s="37">
        <v>1511.111111111107</v>
      </c>
      <c r="L7" s="53" t="s">
        <v>107</v>
      </c>
      <c r="N7">
        <f ca="1">INDEX(INDIRECT($M$5),$P$4,3)</f>
        <v>12.15</v>
      </c>
      <c r="R7">
        <f ca="1">INDEX(INDIRECT($Q$5),3,$T$4)</f>
        <v>11.65</v>
      </c>
      <c r="AZ7" t="s">
        <v>55</v>
      </c>
    </row>
    <row r="8" spans="1:52" x14ac:dyDescent="0.35">
      <c r="A8">
        <v>3600</v>
      </c>
      <c r="B8" s="57">
        <v>1800.0000000000041</v>
      </c>
      <c r="C8" s="37">
        <v>1800.0000000000041</v>
      </c>
      <c r="D8" s="37">
        <v>1800.0000000000041</v>
      </c>
      <c r="E8" s="37">
        <v>1800.0000000000041</v>
      </c>
      <c r="F8" s="37">
        <v>1800.0000000000041</v>
      </c>
      <c r="G8" s="37">
        <v>1800.0000000000041</v>
      </c>
      <c r="H8" s="37">
        <v>1800.0000000000007</v>
      </c>
      <c r="I8" s="37">
        <v>1599.9999999999682</v>
      </c>
      <c r="J8" s="37">
        <v>1599.9999999999959</v>
      </c>
      <c r="K8" s="37">
        <v>1599.9999999999955</v>
      </c>
      <c r="L8" s="53" t="s">
        <v>107</v>
      </c>
      <c r="N8">
        <f ca="1">INDEX(INDIRECT($M$5),$P$4,4)</f>
        <v>12.400000000000002</v>
      </c>
      <c r="R8">
        <f ca="1">INDEX(INDIRECT($Q$5),4,$T$4)</f>
        <v>11.649999999999999</v>
      </c>
    </row>
    <row r="9" spans="1:52" x14ac:dyDescent="0.35">
      <c r="A9">
        <v>3800</v>
      </c>
      <c r="B9" s="57">
        <v>1900.0000000000043</v>
      </c>
      <c r="C9" s="37">
        <v>1900.0000000000043</v>
      </c>
      <c r="D9" s="37">
        <v>1900.0000000000043</v>
      </c>
      <c r="E9" s="37">
        <v>1900.0000000000043</v>
      </c>
      <c r="F9" s="37">
        <v>1900.0000000000043</v>
      </c>
      <c r="G9" s="37">
        <v>1900.0000000000043</v>
      </c>
      <c r="H9" s="37">
        <v>1900.0000000000007</v>
      </c>
      <c r="I9" s="37">
        <v>1688.8888888888553</v>
      </c>
      <c r="J9" s="37">
        <v>1688.8888888888846</v>
      </c>
      <c r="K9" s="37">
        <v>1688.8888888888841</v>
      </c>
      <c r="L9" s="53" t="s">
        <v>107</v>
      </c>
      <c r="N9">
        <f ca="1">INDEX(INDIRECT($M$5),$P$4,5)</f>
        <v>12.650000000000002</v>
      </c>
      <c r="R9">
        <f ca="1">INDEX(INDIRECT($Q$5),5,$T$4)</f>
        <v>11.650000000000002</v>
      </c>
    </row>
    <row r="10" spans="1:52" x14ac:dyDescent="0.35">
      <c r="A10">
        <v>4000</v>
      </c>
      <c r="B10" s="57">
        <v>2000.0000000000045</v>
      </c>
      <c r="C10" s="37">
        <v>2000.0000000000045</v>
      </c>
      <c r="D10" s="37">
        <v>2000.0000000000045</v>
      </c>
      <c r="E10" s="37">
        <v>2000.0000000000045</v>
      </c>
      <c r="F10" s="37">
        <v>2000.0000000000045</v>
      </c>
      <c r="G10" s="37">
        <v>2000.0000000000045</v>
      </c>
      <c r="H10" s="37">
        <v>2000.0000000000011</v>
      </c>
      <c r="I10" s="37">
        <v>1777.7777777777421</v>
      </c>
      <c r="J10" s="37">
        <v>1777.7777777777733</v>
      </c>
      <c r="K10" s="37">
        <v>1777.7777777777728</v>
      </c>
      <c r="L10" s="53" t="s">
        <v>107</v>
      </c>
      <c r="N10">
        <f ca="1">INDEX(INDIRECT($M$5),$P$4,6)</f>
        <v>12.900000000000002</v>
      </c>
      <c r="R10">
        <f ca="1">INDEX(INDIRECT($Q$5),6,$T$4)</f>
        <v>11.65</v>
      </c>
    </row>
    <row r="11" spans="1:52" x14ac:dyDescent="0.35">
      <c r="A11">
        <v>4200</v>
      </c>
      <c r="B11" s="57">
        <v>2100.0000000000045</v>
      </c>
      <c r="C11" s="37">
        <v>2100.0000000000045</v>
      </c>
      <c r="D11" s="37">
        <v>2100.0000000000045</v>
      </c>
      <c r="E11" s="37">
        <v>2100.0000000000045</v>
      </c>
      <c r="F11" s="37">
        <v>2100.0000000000045</v>
      </c>
      <c r="G11" s="37">
        <v>2100.0000000000045</v>
      </c>
      <c r="H11" s="37">
        <v>2100.0000000000009</v>
      </c>
      <c r="I11" s="37">
        <v>1866.6666666666299</v>
      </c>
      <c r="J11" s="37">
        <v>1866.6666666666617</v>
      </c>
      <c r="K11" s="37">
        <v>1866.6666666666615</v>
      </c>
      <c r="L11" s="53" t="s">
        <v>107</v>
      </c>
      <c r="N11">
        <f ca="1">INDEX(INDIRECT($M$5),$P$4,7)</f>
        <v>13.150000000000004</v>
      </c>
      <c r="R11">
        <f ca="1">INDEX(INDIRECT($Q$5),7,$T$4)</f>
        <v>11.65</v>
      </c>
    </row>
    <row r="12" spans="1:52" x14ac:dyDescent="0.35">
      <c r="A12">
        <v>4400</v>
      </c>
      <c r="B12" s="57">
        <v>2200.000000000005</v>
      </c>
      <c r="C12" s="37">
        <v>2200.000000000005</v>
      </c>
      <c r="D12" s="37">
        <v>2200.000000000005</v>
      </c>
      <c r="E12" s="37">
        <v>2200.000000000005</v>
      </c>
      <c r="F12" s="37">
        <v>2200.000000000005</v>
      </c>
      <c r="G12" s="37">
        <v>2200.000000000005</v>
      </c>
      <c r="H12" s="37">
        <v>2200.0000000000009</v>
      </c>
      <c r="I12" s="37">
        <v>1955.5555555555165</v>
      </c>
      <c r="J12" s="37">
        <v>1955.5555555555504</v>
      </c>
      <c r="K12" s="37">
        <v>1955.5555555555502</v>
      </c>
      <c r="L12" s="53" t="s">
        <v>107</v>
      </c>
      <c r="N12">
        <f ca="1">INDEX(INDIRECT($M$5),$P$4,8)</f>
        <v>13.376543209876539</v>
      </c>
      <c r="R12">
        <f ca="1">INDEX(INDIRECT($Q$5),8,$T$4)</f>
        <v>11.65</v>
      </c>
    </row>
    <row r="13" spans="1:52" x14ac:dyDescent="0.35">
      <c r="A13">
        <v>4600</v>
      </c>
      <c r="B13" s="57">
        <v>2300.000000000005</v>
      </c>
      <c r="C13" s="37">
        <v>2300.000000000005</v>
      </c>
      <c r="D13" s="37">
        <v>2300.000000000005</v>
      </c>
      <c r="E13" s="37">
        <v>2300.000000000005</v>
      </c>
      <c r="F13" s="37">
        <v>2300.000000000005</v>
      </c>
      <c r="G13" s="37">
        <v>2300.000000000005</v>
      </c>
      <c r="H13" s="37">
        <v>2300.0000000000009</v>
      </c>
      <c r="I13" s="37">
        <v>2044.4444444444034</v>
      </c>
      <c r="J13" s="37">
        <v>2044.4444444444391</v>
      </c>
      <c r="K13" s="37">
        <v>2044.4444444444389</v>
      </c>
      <c r="L13" s="53" t="s">
        <v>107</v>
      </c>
      <c r="N13">
        <f ca="1">INDEX(INDIRECT($M$5),$P$4,9)</f>
        <v>13.598765432098771</v>
      </c>
      <c r="R13">
        <f ca="1">INDEX(INDIRECT($Q$5),9,$T$4)</f>
        <v>11.650000000000002</v>
      </c>
    </row>
    <row r="14" spans="1:52" x14ac:dyDescent="0.35">
      <c r="A14">
        <v>4800</v>
      </c>
      <c r="B14" s="57">
        <v>2400.0000000000059</v>
      </c>
      <c r="C14" s="37">
        <v>2400.0000000000059</v>
      </c>
      <c r="D14" s="37">
        <v>2400.0000000000059</v>
      </c>
      <c r="E14" s="37">
        <v>2400.0000000000059</v>
      </c>
      <c r="F14" s="37">
        <v>2400.0000000000059</v>
      </c>
      <c r="G14" s="37">
        <v>2400.0000000000059</v>
      </c>
      <c r="H14" s="37">
        <v>2400.0000000000014</v>
      </c>
      <c r="I14" s="37">
        <v>2133.3333333332912</v>
      </c>
      <c r="J14" s="37">
        <v>2133.3333333333276</v>
      </c>
      <c r="K14" s="37">
        <v>2133.3333333333276</v>
      </c>
      <c r="L14" s="53" t="s">
        <v>107</v>
      </c>
      <c r="N14">
        <f ca="1">INDEX(INDIRECT($M$5),$P$4,10)</f>
        <v>13.820987654320987</v>
      </c>
      <c r="R14">
        <f ca="1">INDEX(INDIRECT($Q$5),10,$T$4)</f>
        <v>11.650000000000002</v>
      </c>
    </row>
    <row r="15" spans="1:52" x14ac:dyDescent="0.35">
      <c r="A15">
        <v>5000</v>
      </c>
      <c r="B15" s="57">
        <v>2500.0000000000055</v>
      </c>
      <c r="C15" s="37">
        <v>2500.0000000000055</v>
      </c>
      <c r="D15" s="37">
        <v>2500.0000000000055</v>
      </c>
      <c r="E15" s="37">
        <v>2500.0000000000055</v>
      </c>
      <c r="F15" s="37">
        <v>2500.0000000000055</v>
      </c>
      <c r="G15" s="37">
        <v>2500.0000000000055</v>
      </c>
      <c r="H15" s="37">
        <v>2500.0000000000014</v>
      </c>
      <c r="I15" s="37">
        <v>2222.2222222221781</v>
      </c>
      <c r="J15" s="37">
        <v>2222.2222222222163</v>
      </c>
      <c r="K15" s="37">
        <v>2222.2222222222163</v>
      </c>
      <c r="L15" s="53" t="s">
        <v>107</v>
      </c>
      <c r="N15" t="str">
        <f ca="1">INDEX(INDIRECT($M$5),$P$4,11)</f>
        <v>Not feasible</v>
      </c>
      <c r="R15">
        <f ca="1">INDEX(INDIRECT($Q$5),11,$T$4)</f>
        <v>11.649999999999999</v>
      </c>
    </row>
    <row r="16" spans="1:52" x14ac:dyDescent="0.35">
      <c r="A16">
        <v>5200</v>
      </c>
      <c r="B16" s="57">
        <v>2600.0000000000059</v>
      </c>
      <c r="C16" s="37">
        <v>2600.0000000000059</v>
      </c>
      <c r="D16" s="37">
        <v>2600.0000000000059</v>
      </c>
      <c r="E16" s="37">
        <v>2600.0000000000059</v>
      </c>
      <c r="F16" s="37">
        <v>2600.0000000000059</v>
      </c>
      <c r="G16" s="37">
        <v>2600.0000000000059</v>
      </c>
      <c r="H16" s="37">
        <v>2600.0000000000014</v>
      </c>
      <c r="I16" s="37">
        <v>2311.1111111110649</v>
      </c>
      <c r="J16" s="37">
        <v>2311.1111111111049</v>
      </c>
      <c r="K16" s="37">
        <v>2311.1111111111049</v>
      </c>
      <c r="L16" s="53" t="s">
        <v>107</v>
      </c>
      <c r="R16">
        <f ca="1">INDEX(INDIRECT($Q$5),12,$T$4)</f>
        <v>11.65</v>
      </c>
    </row>
    <row r="17" spans="1:18" x14ac:dyDescent="0.35">
      <c r="A17">
        <v>5400</v>
      </c>
      <c r="B17" s="57">
        <v>2700.0000000000059</v>
      </c>
      <c r="C17" s="37">
        <v>2700.0000000000059</v>
      </c>
      <c r="D17" s="37">
        <v>2700.0000000000059</v>
      </c>
      <c r="E17" s="37">
        <v>2700.0000000000059</v>
      </c>
      <c r="F17" s="37">
        <v>2700.0000000000059</v>
      </c>
      <c r="G17" s="37">
        <v>2700.0000000000059</v>
      </c>
      <c r="H17" s="37">
        <v>2700.0000000000014</v>
      </c>
      <c r="I17" s="37">
        <v>2399.9999999999527</v>
      </c>
      <c r="J17" s="37">
        <v>2399.9999999999936</v>
      </c>
      <c r="K17" s="37">
        <v>2399.9999999999932</v>
      </c>
      <c r="L17" s="53" t="s">
        <v>107</v>
      </c>
      <c r="R17">
        <f ca="1">INDEX(INDIRECT($Q$5),13,$T$4)</f>
        <v>11.650000000000002</v>
      </c>
    </row>
    <row r="18" spans="1:18" x14ac:dyDescent="0.35">
      <c r="A18">
        <v>5600</v>
      </c>
      <c r="B18" s="57">
        <v>2800.0000000000059</v>
      </c>
      <c r="C18" s="37">
        <v>2800.0000000000059</v>
      </c>
      <c r="D18" s="37">
        <v>2800.0000000000059</v>
      </c>
      <c r="E18" s="37">
        <v>2800.0000000000059</v>
      </c>
      <c r="F18" s="37">
        <v>2800.0000000000059</v>
      </c>
      <c r="G18" s="37">
        <v>2800.0000000000059</v>
      </c>
      <c r="H18" s="37">
        <v>2800.0000000000014</v>
      </c>
      <c r="I18" s="37">
        <v>2488.8888888888396</v>
      </c>
      <c r="J18" s="37">
        <v>2488.8888888888823</v>
      </c>
      <c r="K18" s="37">
        <v>2488.8888888888819</v>
      </c>
      <c r="L18" s="53" t="s">
        <v>107</v>
      </c>
      <c r="R18">
        <f ca="1">INDEX(INDIRECT($Q$5),14,$T$4)</f>
        <v>11.650000000000004</v>
      </c>
    </row>
    <row r="19" spans="1:18" x14ac:dyDescent="0.35">
      <c r="A19">
        <v>5800</v>
      </c>
      <c r="B19" s="57">
        <v>2900.0000000000068</v>
      </c>
      <c r="C19" s="37">
        <v>2900.0000000000068</v>
      </c>
      <c r="D19" s="37">
        <v>2900.0000000000068</v>
      </c>
      <c r="E19" s="37">
        <v>2900.0000000000068</v>
      </c>
      <c r="F19" s="37">
        <v>2900.0000000000068</v>
      </c>
      <c r="G19" s="37">
        <v>2900.0000000000068</v>
      </c>
      <c r="H19" s="37">
        <v>2900.0000000000014</v>
      </c>
      <c r="I19" s="37">
        <v>2577.7777777777264</v>
      </c>
      <c r="J19" s="37">
        <v>2577.777777777771</v>
      </c>
      <c r="K19" s="37">
        <v>2577.7777777777706</v>
      </c>
      <c r="L19" s="53" t="s">
        <v>107</v>
      </c>
      <c r="R19">
        <f ca="1">INDEX(INDIRECT($Q$5),15,$T$4)</f>
        <v>11.650000000000002</v>
      </c>
    </row>
    <row r="20" spans="1:18" x14ac:dyDescent="0.35">
      <c r="A20">
        <v>6000</v>
      </c>
      <c r="B20" s="57">
        <v>3000.0000000000064</v>
      </c>
      <c r="C20" s="37">
        <v>3000.0000000000064</v>
      </c>
      <c r="D20" s="37">
        <v>3000.0000000000064</v>
      </c>
      <c r="E20" s="37">
        <v>3000.0000000000064</v>
      </c>
      <c r="F20" s="37">
        <v>3000.0000000000064</v>
      </c>
      <c r="G20" s="37">
        <v>3000.0000000000064</v>
      </c>
      <c r="H20" s="37">
        <v>3000.0000000000009</v>
      </c>
      <c r="I20" s="37">
        <v>2666.6666666666138</v>
      </c>
      <c r="J20" s="37">
        <v>2666.6666666666597</v>
      </c>
      <c r="K20" s="37">
        <v>2666.6666666666592</v>
      </c>
      <c r="L20" s="53" t="s">
        <v>107</v>
      </c>
      <c r="R20">
        <f ca="1">INDEX(INDIRECT($Q$5),16,$T$4)</f>
        <v>11.65</v>
      </c>
    </row>
    <row r="21" spans="1:18" x14ac:dyDescent="0.35">
      <c r="A21">
        <v>6200</v>
      </c>
      <c r="B21" s="57">
        <v>3100.0000000000073</v>
      </c>
      <c r="C21" s="37">
        <v>3100.0000000000073</v>
      </c>
      <c r="D21" s="37">
        <v>3100.0000000000073</v>
      </c>
      <c r="E21" s="37">
        <v>3100.0000000000073</v>
      </c>
      <c r="F21" s="37">
        <v>3100.0000000000073</v>
      </c>
      <c r="G21" s="37">
        <v>3100.0000000000073</v>
      </c>
      <c r="H21" s="37">
        <v>3100.0000000000014</v>
      </c>
      <c r="I21" s="37">
        <v>2755.5555555555006</v>
      </c>
      <c r="J21" s="37">
        <v>2755.5555555555484</v>
      </c>
      <c r="K21" s="37">
        <v>2755.5555555555479</v>
      </c>
      <c r="L21" s="53" t="s">
        <v>107</v>
      </c>
      <c r="R21">
        <f ca="1">INDEX(INDIRECT($Q$5),17,$T$4)</f>
        <v>11.650000000000002</v>
      </c>
    </row>
    <row r="22" spans="1:18" x14ac:dyDescent="0.35">
      <c r="A22">
        <v>6400</v>
      </c>
      <c r="B22" s="57">
        <v>3200.0000000000073</v>
      </c>
      <c r="C22" s="37">
        <v>3200.0000000000073</v>
      </c>
      <c r="D22" s="37">
        <v>3200.0000000000073</v>
      </c>
      <c r="E22" s="37">
        <v>3200.0000000000073</v>
      </c>
      <c r="F22" s="37">
        <v>3200.0000000000073</v>
      </c>
      <c r="G22" s="37">
        <v>3200.0000000000073</v>
      </c>
      <c r="H22" s="37">
        <v>3200.0000000000018</v>
      </c>
      <c r="I22" s="37">
        <v>2844.444444444388</v>
      </c>
      <c r="J22" s="37">
        <v>2844.4444444444375</v>
      </c>
      <c r="K22" s="37">
        <v>2844.4444444444366</v>
      </c>
      <c r="L22" s="53" t="s">
        <v>107</v>
      </c>
      <c r="R22">
        <f ca="1">INDEX(INDIRECT($Q$5),18,$T$4)</f>
        <v>11.65</v>
      </c>
    </row>
    <row r="23" spans="1:18" x14ac:dyDescent="0.35">
      <c r="A23">
        <v>6600</v>
      </c>
      <c r="B23" s="57">
        <v>3300.0000000000073</v>
      </c>
      <c r="C23" s="37">
        <v>3300.0000000000073</v>
      </c>
      <c r="D23" s="37">
        <v>3300.0000000000073</v>
      </c>
      <c r="E23" s="37">
        <v>3300.0000000000073</v>
      </c>
      <c r="F23" s="37">
        <v>3300.0000000000073</v>
      </c>
      <c r="G23" s="37">
        <v>3300.0000000000073</v>
      </c>
      <c r="H23" s="37">
        <v>3300.0000000000014</v>
      </c>
      <c r="I23" s="37">
        <v>2933.3333333332748</v>
      </c>
      <c r="J23" s="37">
        <v>2933.3333333333258</v>
      </c>
      <c r="K23" s="37">
        <v>2933.3333333333253</v>
      </c>
      <c r="L23" s="53" t="s">
        <v>107</v>
      </c>
      <c r="R23">
        <f ca="1">INDEX(INDIRECT($Q$5),19,$T$4)</f>
        <v>11.65</v>
      </c>
    </row>
    <row r="24" spans="1:18" x14ac:dyDescent="0.35">
      <c r="A24">
        <v>6800</v>
      </c>
      <c r="B24" s="57">
        <v>3400.0000000000077</v>
      </c>
      <c r="C24" s="37">
        <v>3400.0000000000077</v>
      </c>
      <c r="D24" s="37">
        <v>3400.0000000000077</v>
      </c>
      <c r="E24" s="37">
        <v>3400.0000000000077</v>
      </c>
      <c r="F24" s="37">
        <v>3400.0000000000077</v>
      </c>
      <c r="G24" s="37">
        <v>3400.0000000000077</v>
      </c>
      <c r="H24" s="37">
        <v>3400.0000000000018</v>
      </c>
      <c r="I24" s="37">
        <v>3022.2222222221617</v>
      </c>
      <c r="J24" s="37">
        <v>3022.2222222222144</v>
      </c>
      <c r="K24" s="37">
        <v>3022.222222222214</v>
      </c>
      <c r="L24" s="53" t="s">
        <v>107</v>
      </c>
      <c r="R24">
        <f ca="1">INDEX(INDIRECT($Q$5),20,$T$4)</f>
        <v>11.65</v>
      </c>
    </row>
    <row r="25" spans="1:18" x14ac:dyDescent="0.35">
      <c r="A25">
        <v>7000</v>
      </c>
      <c r="B25" s="60">
        <v>3500.0000000000077</v>
      </c>
      <c r="C25" s="39">
        <v>3500.0000000000077</v>
      </c>
      <c r="D25" s="39">
        <v>3500.0000000000077</v>
      </c>
      <c r="E25" s="39">
        <v>3500.0000000000077</v>
      </c>
      <c r="F25" s="39">
        <v>3500.0000000000077</v>
      </c>
      <c r="G25" s="39">
        <v>3500.0000000000077</v>
      </c>
      <c r="H25" s="39">
        <v>3500.0000000000018</v>
      </c>
      <c r="I25" s="39">
        <v>3111.111111111049</v>
      </c>
      <c r="J25" s="39">
        <v>3111.1111111111031</v>
      </c>
      <c r="K25" s="39">
        <v>3111.1111111111022</v>
      </c>
      <c r="L25" s="54" t="s">
        <v>107</v>
      </c>
      <c r="R25">
        <f ca="1">INDEX(INDIRECT($Q$5),21,$T$4)</f>
        <v>11.650000000000002</v>
      </c>
    </row>
    <row r="27" spans="1:18" x14ac:dyDescent="0.35">
      <c r="A27" s="43" t="s">
        <v>87</v>
      </c>
      <c r="B27">
        <v>11</v>
      </c>
      <c r="C27">
        <v>11.5</v>
      </c>
      <c r="D27">
        <v>12</v>
      </c>
      <c r="E27">
        <v>12.5</v>
      </c>
      <c r="F27">
        <v>13</v>
      </c>
      <c r="G27">
        <v>13.5</v>
      </c>
      <c r="H27">
        <v>14</v>
      </c>
      <c r="I27">
        <v>14.5</v>
      </c>
      <c r="J27">
        <v>15</v>
      </c>
      <c r="K27">
        <v>15.5</v>
      </c>
      <c r="L27">
        <v>16</v>
      </c>
    </row>
    <row r="28" spans="1:18" x14ac:dyDescent="0.35">
      <c r="A28">
        <v>3000</v>
      </c>
      <c r="B28" s="58">
        <v>1499.999999999993</v>
      </c>
      <c r="C28" s="35">
        <v>1499.999999999993</v>
      </c>
      <c r="D28" s="35">
        <v>1499.999999999993</v>
      </c>
      <c r="E28" s="35">
        <v>1499.999999999993</v>
      </c>
      <c r="F28" s="35">
        <v>1499.999999999993</v>
      </c>
      <c r="G28" s="35">
        <v>1499.999999999993</v>
      </c>
      <c r="H28" s="35">
        <v>1499.999999999992</v>
      </c>
      <c r="I28" s="35">
        <v>1481.4814814814558</v>
      </c>
      <c r="J28" s="35">
        <v>1481.4814814814779</v>
      </c>
      <c r="K28" s="35">
        <v>1481.4814814814781</v>
      </c>
      <c r="L28" s="52" t="s">
        <v>107</v>
      </c>
    </row>
    <row r="29" spans="1:18" x14ac:dyDescent="0.35">
      <c r="A29">
        <v>3200</v>
      </c>
      <c r="B29" s="57">
        <v>1599.9999999999925</v>
      </c>
      <c r="C29" s="37">
        <v>1599.9999999999925</v>
      </c>
      <c r="D29" s="37">
        <v>1599.9999999999925</v>
      </c>
      <c r="E29" s="37">
        <v>1599.9999999999925</v>
      </c>
      <c r="F29" s="37">
        <v>1599.9999999999925</v>
      </c>
      <c r="G29" s="37">
        <v>1599.9999999999925</v>
      </c>
      <c r="H29" s="37">
        <v>1599.9999999999918</v>
      </c>
      <c r="I29" s="37">
        <v>1580.2469135802196</v>
      </c>
      <c r="J29" s="37">
        <v>1580.246913580243</v>
      </c>
      <c r="K29" s="37">
        <v>1580.2469135802432</v>
      </c>
      <c r="L29" s="53" t="s">
        <v>107</v>
      </c>
    </row>
    <row r="30" spans="1:18" x14ac:dyDescent="0.35">
      <c r="A30">
        <v>3400</v>
      </c>
      <c r="B30" s="57">
        <v>1699.999999999992</v>
      </c>
      <c r="C30" s="37">
        <v>1699.999999999992</v>
      </c>
      <c r="D30" s="37">
        <v>1699.999999999992</v>
      </c>
      <c r="E30" s="37">
        <v>1699.999999999992</v>
      </c>
      <c r="F30" s="37">
        <v>1699.999999999992</v>
      </c>
      <c r="G30" s="37">
        <v>1699.999999999992</v>
      </c>
      <c r="H30" s="37">
        <v>1699.9999999999914</v>
      </c>
      <c r="I30" s="37">
        <v>1679.0123456789831</v>
      </c>
      <c r="J30" s="37">
        <v>1679.0123456790084</v>
      </c>
      <c r="K30" s="37">
        <v>1679.0123456790084</v>
      </c>
      <c r="L30" s="53" t="s">
        <v>107</v>
      </c>
    </row>
    <row r="31" spans="1:18" x14ac:dyDescent="0.35">
      <c r="A31">
        <v>3600</v>
      </c>
      <c r="B31" s="57">
        <v>1799.9999999999918</v>
      </c>
      <c r="C31" s="37">
        <v>1799.9999999999918</v>
      </c>
      <c r="D31" s="37">
        <v>1799.9999999999918</v>
      </c>
      <c r="E31" s="37">
        <v>1799.9999999999918</v>
      </c>
      <c r="F31" s="37">
        <v>1799.9999999999918</v>
      </c>
      <c r="G31" s="37">
        <v>1799.9999999999918</v>
      </c>
      <c r="H31" s="37">
        <v>1799.9999999999909</v>
      </c>
      <c r="I31" s="37">
        <v>1777.7777777777469</v>
      </c>
      <c r="J31" s="37">
        <v>1777.7777777777735</v>
      </c>
      <c r="K31" s="37">
        <v>1777.7777777777737</v>
      </c>
      <c r="L31" s="53" t="s">
        <v>107</v>
      </c>
    </row>
    <row r="32" spans="1:18" x14ac:dyDescent="0.35">
      <c r="A32">
        <v>3800</v>
      </c>
      <c r="B32" s="57">
        <v>1899.9999999999909</v>
      </c>
      <c r="C32" s="37">
        <v>1899.9999999999909</v>
      </c>
      <c r="D32" s="37">
        <v>1899.9999999999909</v>
      </c>
      <c r="E32" s="37">
        <v>1899.9999999999909</v>
      </c>
      <c r="F32" s="37">
        <v>1899.9999999999909</v>
      </c>
      <c r="G32" s="37">
        <v>1899.9999999999909</v>
      </c>
      <c r="H32" s="37">
        <v>1899.9999999999905</v>
      </c>
      <c r="I32" s="37">
        <v>1876.5432098765104</v>
      </c>
      <c r="J32" s="37">
        <v>1876.5432098765389</v>
      </c>
      <c r="K32" s="37">
        <v>1876.5432098765386</v>
      </c>
      <c r="L32" s="53" t="s">
        <v>107</v>
      </c>
    </row>
    <row r="33" spans="1:12" x14ac:dyDescent="0.35">
      <c r="A33">
        <v>4000</v>
      </c>
      <c r="B33" s="57">
        <v>1999.9999999999907</v>
      </c>
      <c r="C33" s="37">
        <v>1999.9999999999907</v>
      </c>
      <c r="D33" s="37">
        <v>1999.9999999999907</v>
      </c>
      <c r="E33" s="37">
        <v>1999.9999999999907</v>
      </c>
      <c r="F33" s="37">
        <v>1999.9999999999907</v>
      </c>
      <c r="G33" s="37">
        <v>1999.9999999999907</v>
      </c>
      <c r="H33" s="37">
        <v>1999.9999999999898</v>
      </c>
      <c r="I33" s="37">
        <v>1975.3086419752742</v>
      </c>
      <c r="J33" s="37">
        <v>1975.3086419753038</v>
      </c>
      <c r="K33" s="37">
        <v>1975.308641975304</v>
      </c>
      <c r="L33" s="53" t="s">
        <v>107</v>
      </c>
    </row>
    <row r="34" spans="1:12" x14ac:dyDescent="0.35">
      <c r="A34">
        <v>4200</v>
      </c>
      <c r="B34" s="57">
        <v>2099.99999999999</v>
      </c>
      <c r="C34" s="37">
        <v>2099.99999999999</v>
      </c>
      <c r="D34" s="37">
        <v>2099.99999999999</v>
      </c>
      <c r="E34" s="37">
        <v>2099.99999999999</v>
      </c>
      <c r="F34" s="37">
        <v>2099.99999999999</v>
      </c>
      <c r="G34" s="37">
        <v>2099.99999999999</v>
      </c>
      <c r="H34" s="37">
        <v>2099.9999999999895</v>
      </c>
      <c r="I34" s="37">
        <v>2074.074074074038</v>
      </c>
      <c r="J34" s="37">
        <v>2074.0740740740689</v>
      </c>
      <c r="K34" s="37">
        <v>2074.0740740740689</v>
      </c>
      <c r="L34" s="53" t="s">
        <v>107</v>
      </c>
    </row>
    <row r="35" spans="1:12" x14ac:dyDescent="0.35">
      <c r="A35">
        <v>4400</v>
      </c>
      <c r="B35" s="57">
        <v>2199.9999999999895</v>
      </c>
      <c r="C35" s="37">
        <v>2199.9999999999895</v>
      </c>
      <c r="D35" s="37">
        <v>2199.9999999999895</v>
      </c>
      <c r="E35" s="37">
        <v>2199.9999999999895</v>
      </c>
      <c r="F35" s="37">
        <v>2199.9999999999895</v>
      </c>
      <c r="G35" s="37">
        <v>2199.9999999999895</v>
      </c>
      <c r="H35" s="37">
        <v>2199.9999999999886</v>
      </c>
      <c r="I35" s="37">
        <v>2172.839506172802</v>
      </c>
      <c r="J35" s="37">
        <v>2172.8395061728343</v>
      </c>
      <c r="K35" s="37">
        <v>2172.8395061728343</v>
      </c>
      <c r="L35" s="53" t="s">
        <v>107</v>
      </c>
    </row>
    <row r="36" spans="1:12" x14ac:dyDescent="0.35">
      <c r="A36">
        <v>4600</v>
      </c>
      <c r="B36" s="57">
        <v>2299.9999999999891</v>
      </c>
      <c r="C36" s="37">
        <v>2299.9999999999891</v>
      </c>
      <c r="D36" s="37">
        <v>2299.9999999999891</v>
      </c>
      <c r="E36" s="37">
        <v>2299.9999999999891</v>
      </c>
      <c r="F36" s="37">
        <v>2299.9999999999891</v>
      </c>
      <c r="G36" s="37">
        <v>2299.9999999999891</v>
      </c>
      <c r="H36" s="37">
        <v>2299.9999999999882</v>
      </c>
      <c r="I36" s="37">
        <v>2271.6049382715655</v>
      </c>
      <c r="J36" s="37">
        <v>2271.6049382715992</v>
      </c>
      <c r="K36" s="37">
        <v>2271.6049382716001</v>
      </c>
      <c r="L36" s="53" t="s">
        <v>107</v>
      </c>
    </row>
    <row r="37" spans="1:12" x14ac:dyDescent="0.35">
      <c r="A37">
        <v>4800</v>
      </c>
      <c r="B37" s="57">
        <v>2399.9999999999886</v>
      </c>
      <c r="C37" s="37">
        <v>2399.9999999999886</v>
      </c>
      <c r="D37" s="37">
        <v>2399.9999999999886</v>
      </c>
      <c r="E37" s="37">
        <v>2399.9999999999886</v>
      </c>
      <c r="F37" s="37">
        <v>2399.9999999999886</v>
      </c>
      <c r="G37" s="37">
        <v>2399.9999999999886</v>
      </c>
      <c r="H37" s="37">
        <v>2399.9999999999882</v>
      </c>
      <c r="I37" s="37">
        <v>2370.3703703703295</v>
      </c>
      <c r="J37" s="37">
        <v>2370.3703703703645</v>
      </c>
      <c r="K37" s="37">
        <v>2370.3703703703645</v>
      </c>
      <c r="L37" s="53" t="s">
        <v>107</v>
      </c>
    </row>
    <row r="38" spans="1:12" x14ac:dyDescent="0.35">
      <c r="A38">
        <v>5000</v>
      </c>
      <c r="B38" s="57">
        <v>2499.9999999999886</v>
      </c>
      <c r="C38" s="37">
        <v>2499.9999999999886</v>
      </c>
      <c r="D38" s="37">
        <v>2499.9999999999886</v>
      </c>
      <c r="E38" s="37">
        <v>2499.9999999999886</v>
      </c>
      <c r="F38" s="37">
        <v>2499.9999999999886</v>
      </c>
      <c r="G38" s="37">
        <v>2499.9999999999886</v>
      </c>
      <c r="H38" s="37">
        <v>2499.9999999999873</v>
      </c>
      <c r="I38" s="37">
        <v>2469.1358024690931</v>
      </c>
      <c r="J38" s="37">
        <v>2469.1358024691299</v>
      </c>
      <c r="K38" s="37">
        <v>2469.1358024691303</v>
      </c>
      <c r="L38" s="53" t="s">
        <v>107</v>
      </c>
    </row>
    <row r="39" spans="1:12" x14ac:dyDescent="0.35">
      <c r="A39">
        <v>5200</v>
      </c>
      <c r="B39" s="57">
        <v>2599.9999999999882</v>
      </c>
      <c r="C39" s="37">
        <v>2599.9999999999882</v>
      </c>
      <c r="D39" s="37">
        <v>2599.9999999999882</v>
      </c>
      <c r="E39" s="37">
        <v>2599.9999999999882</v>
      </c>
      <c r="F39" s="37">
        <v>2599.9999999999882</v>
      </c>
      <c r="G39" s="37">
        <v>2599.9999999999882</v>
      </c>
      <c r="H39" s="37">
        <v>2599.9999999999868</v>
      </c>
      <c r="I39" s="37">
        <v>2567.9012345678561</v>
      </c>
      <c r="J39" s="37">
        <v>2567.9012345678948</v>
      </c>
      <c r="K39" s="37">
        <v>2567.9012345678948</v>
      </c>
      <c r="L39" s="53" t="s">
        <v>107</v>
      </c>
    </row>
    <row r="40" spans="1:12" x14ac:dyDescent="0.35">
      <c r="A40">
        <v>5400</v>
      </c>
      <c r="B40" s="57">
        <v>2699.9999999999877</v>
      </c>
      <c r="C40" s="37">
        <v>2699.9999999999877</v>
      </c>
      <c r="D40" s="37">
        <v>2699.9999999999877</v>
      </c>
      <c r="E40" s="37">
        <v>2699.9999999999877</v>
      </c>
      <c r="F40" s="37">
        <v>2699.9999999999877</v>
      </c>
      <c r="G40" s="37">
        <v>2699.9999999999877</v>
      </c>
      <c r="H40" s="37">
        <v>2699.9999999999868</v>
      </c>
      <c r="I40" s="37">
        <v>2666.6666666666201</v>
      </c>
      <c r="J40" s="37">
        <v>2666.6666666666601</v>
      </c>
      <c r="K40" s="37">
        <v>2666.6666666666601</v>
      </c>
      <c r="L40" s="53" t="s">
        <v>107</v>
      </c>
    </row>
    <row r="41" spans="1:12" x14ac:dyDescent="0.35">
      <c r="A41">
        <v>5600</v>
      </c>
      <c r="B41" s="57">
        <v>2799.9999999999873</v>
      </c>
      <c r="C41" s="37">
        <v>2799.9999999999873</v>
      </c>
      <c r="D41" s="37">
        <v>2799.9999999999873</v>
      </c>
      <c r="E41" s="37">
        <v>2799.9999999999873</v>
      </c>
      <c r="F41" s="37">
        <v>2799.9999999999873</v>
      </c>
      <c r="G41" s="37">
        <v>2799.9999999999873</v>
      </c>
      <c r="H41" s="37">
        <v>2799.9999999999854</v>
      </c>
      <c r="I41" s="37">
        <v>2765.4320987653841</v>
      </c>
      <c r="J41" s="37">
        <v>2765.4320987654255</v>
      </c>
      <c r="K41" s="37">
        <v>2765.4320987654251</v>
      </c>
      <c r="L41" s="53" t="s">
        <v>107</v>
      </c>
    </row>
    <row r="42" spans="1:12" x14ac:dyDescent="0.35">
      <c r="A42">
        <v>5800</v>
      </c>
      <c r="B42" s="57">
        <v>2899.9999999999864</v>
      </c>
      <c r="C42" s="37">
        <v>2899.9999999999864</v>
      </c>
      <c r="D42" s="37">
        <v>2899.9999999999864</v>
      </c>
      <c r="E42" s="37">
        <v>2899.9999999999864</v>
      </c>
      <c r="F42" s="37">
        <v>2899.9999999999864</v>
      </c>
      <c r="G42" s="37">
        <v>2899.9999999999864</v>
      </c>
      <c r="H42" s="37">
        <v>2899.9999999999854</v>
      </c>
      <c r="I42" s="37">
        <v>2864.1975308641477</v>
      </c>
      <c r="J42" s="37">
        <v>2864.1975308641904</v>
      </c>
      <c r="K42" s="37">
        <v>2864.1975308641913</v>
      </c>
      <c r="L42" s="53" t="s">
        <v>107</v>
      </c>
    </row>
    <row r="43" spans="1:12" x14ac:dyDescent="0.35">
      <c r="A43">
        <v>6000</v>
      </c>
      <c r="B43" s="57">
        <v>2999.9999999999859</v>
      </c>
      <c r="C43" s="37">
        <v>2999.9999999999859</v>
      </c>
      <c r="D43" s="37">
        <v>2999.9999999999859</v>
      </c>
      <c r="E43" s="37">
        <v>2999.9999999999859</v>
      </c>
      <c r="F43" s="37">
        <v>2999.9999999999859</v>
      </c>
      <c r="G43" s="37">
        <v>2999.9999999999859</v>
      </c>
      <c r="H43" s="37">
        <v>2999.9999999999841</v>
      </c>
      <c r="I43" s="37">
        <v>2962.9629629629117</v>
      </c>
      <c r="J43" s="37">
        <v>2962.9629629629558</v>
      </c>
      <c r="K43" s="37">
        <v>2962.9629629629562</v>
      </c>
      <c r="L43" s="53" t="s">
        <v>107</v>
      </c>
    </row>
    <row r="44" spans="1:12" x14ac:dyDescent="0.35">
      <c r="A44">
        <v>6200</v>
      </c>
      <c r="B44" s="57">
        <v>3099.9999999999859</v>
      </c>
      <c r="C44" s="37">
        <v>3099.9999999999859</v>
      </c>
      <c r="D44" s="37">
        <v>3099.9999999999859</v>
      </c>
      <c r="E44" s="37">
        <v>3099.9999999999859</v>
      </c>
      <c r="F44" s="37">
        <v>3099.9999999999859</v>
      </c>
      <c r="G44" s="37">
        <v>3099.9999999999859</v>
      </c>
      <c r="H44" s="37">
        <v>3099.9999999999841</v>
      </c>
      <c r="I44" s="37">
        <v>3061.7283950616747</v>
      </c>
      <c r="J44" s="37">
        <v>3061.7283950617211</v>
      </c>
      <c r="K44" s="37">
        <v>3061.7283950617207</v>
      </c>
      <c r="L44" s="53" t="s">
        <v>107</v>
      </c>
    </row>
    <row r="45" spans="1:12" x14ac:dyDescent="0.35">
      <c r="A45">
        <v>6400</v>
      </c>
      <c r="B45" s="57">
        <v>3199.999999999985</v>
      </c>
      <c r="C45" s="37">
        <v>3199.999999999985</v>
      </c>
      <c r="D45" s="37">
        <v>3199.999999999985</v>
      </c>
      <c r="E45" s="37">
        <v>3199.999999999985</v>
      </c>
      <c r="F45" s="37">
        <v>3199.999999999985</v>
      </c>
      <c r="G45" s="37">
        <v>3199.999999999985</v>
      </c>
      <c r="H45" s="37">
        <v>3199.9999999999836</v>
      </c>
      <c r="I45" s="37">
        <v>3160.4938271604392</v>
      </c>
      <c r="J45" s="37">
        <v>3160.493827160486</v>
      </c>
      <c r="K45" s="37">
        <v>3160.4938271604865</v>
      </c>
      <c r="L45" s="53" t="s">
        <v>107</v>
      </c>
    </row>
    <row r="46" spans="1:12" x14ac:dyDescent="0.35">
      <c r="A46">
        <v>6600</v>
      </c>
      <c r="B46" s="57">
        <v>3299.9999999999845</v>
      </c>
      <c r="C46" s="37">
        <v>3299.9999999999845</v>
      </c>
      <c r="D46" s="37">
        <v>3299.9999999999845</v>
      </c>
      <c r="E46" s="37">
        <v>3299.9999999999845</v>
      </c>
      <c r="F46" s="37">
        <v>3299.9999999999845</v>
      </c>
      <c r="G46" s="37">
        <v>3299.9999999999845</v>
      </c>
      <c r="H46" s="37">
        <v>3299.9999999999827</v>
      </c>
      <c r="I46" s="37">
        <v>3259.2592592592023</v>
      </c>
      <c r="J46" s="37">
        <v>3259.2592592592509</v>
      </c>
      <c r="K46" s="37">
        <v>3259.2592592592509</v>
      </c>
      <c r="L46" s="53" t="s">
        <v>107</v>
      </c>
    </row>
    <row r="47" spans="1:12" x14ac:dyDescent="0.35">
      <c r="A47">
        <v>6800</v>
      </c>
      <c r="B47" s="57">
        <v>3399.9999999999841</v>
      </c>
      <c r="C47" s="37">
        <v>3399.9999999999841</v>
      </c>
      <c r="D47" s="37">
        <v>3399.9999999999841</v>
      </c>
      <c r="E47" s="37">
        <v>3399.9999999999841</v>
      </c>
      <c r="F47" s="37">
        <v>3399.9999999999841</v>
      </c>
      <c r="G47" s="37">
        <v>3399.9999999999841</v>
      </c>
      <c r="H47" s="37">
        <v>3399.9999999999827</v>
      </c>
      <c r="I47" s="37">
        <v>3358.0246913579663</v>
      </c>
      <c r="J47" s="37">
        <v>3358.0246913580168</v>
      </c>
      <c r="K47" s="37">
        <v>3358.0246913580168</v>
      </c>
      <c r="L47" s="53" t="s">
        <v>107</v>
      </c>
    </row>
    <row r="48" spans="1:12" x14ac:dyDescent="0.35">
      <c r="A48">
        <v>7000</v>
      </c>
      <c r="B48" s="60">
        <v>3499.9999999999836</v>
      </c>
      <c r="C48" s="39">
        <v>3499.9999999999836</v>
      </c>
      <c r="D48" s="39">
        <v>3499.9999999999836</v>
      </c>
      <c r="E48" s="39">
        <v>3499.9999999999836</v>
      </c>
      <c r="F48" s="39">
        <v>3499.9999999999836</v>
      </c>
      <c r="G48" s="39">
        <v>3499.9999999999836</v>
      </c>
      <c r="H48" s="39">
        <v>3499.9999999999823</v>
      </c>
      <c r="I48" s="39">
        <v>3456.7901234567298</v>
      </c>
      <c r="J48" s="39">
        <v>3456.7901234567812</v>
      </c>
      <c r="K48" s="39">
        <v>3456.7901234567821</v>
      </c>
      <c r="L48" s="54" t="s">
        <v>107</v>
      </c>
    </row>
    <row r="50" spans="1:12" x14ac:dyDescent="0.35">
      <c r="A50" s="43" t="s">
        <v>88</v>
      </c>
      <c r="B50">
        <v>11</v>
      </c>
      <c r="C50">
        <v>11.5</v>
      </c>
      <c r="D50">
        <v>12</v>
      </c>
      <c r="E50">
        <v>12.5</v>
      </c>
      <c r="F50">
        <v>13</v>
      </c>
      <c r="G50">
        <v>13.5</v>
      </c>
      <c r="H50">
        <v>14</v>
      </c>
      <c r="I50">
        <v>14.5</v>
      </c>
      <c r="J50">
        <v>15</v>
      </c>
      <c r="K50">
        <v>15.5</v>
      </c>
      <c r="L50">
        <v>16</v>
      </c>
    </row>
    <row r="51" spans="1:12" x14ac:dyDescent="0.35">
      <c r="A51">
        <v>3000</v>
      </c>
      <c r="B51" s="58">
        <v>0</v>
      </c>
      <c r="C51" s="35">
        <v>0</v>
      </c>
      <c r="D51" s="35">
        <v>0</v>
      </c>
      <c r="E51" s="35">
        <v>0</v>
      </c>
      <c r="F51" s="35">
        <v>0</v>
      </c>
      <c r="G51" s="35">
        <v>0</v>
      </c>
      <c r="H51" s="35">
        <v>0</v>
      </c>
      <c r="I51" s="35">
        <v>0</v>
      </c>
      <c r="J51" s="35">
        <v>0</v>
      </c>
      <c r="K51" s="35">
        <v>0</v>
      </c>
      <c r="L51" s="52" t="s">
        <v>107</v>
      </c>
    </row>
    <row r="52" spans="1:12" x14ac:dyDescent="0.35">
      <c r="A52">
        <v>3200</v>
      </c>
      <c r="B52" s="57">
        <v>0</v>
      </c>
      <c r="C52" s="37">
        <v>0</v>
      </c>
      <c r="D52" s="37">
        <v>0</v>
      </c>
      <c r="E52" s="37">
        <v>0</v>
      </c>
      <c r="F52" s="37">
        <v>0</v>
      </c>
      <c r="G52" s="37">
        <v>0</v>
      </c>
      <c r="H52" s="37">
        <v>0</v>
      </c>
      <c r="I52" s="37">
        <v>0</v>
      </c>
      <c r="J52" s="37">
        <v>0</v>
      </c>
      <c r="K52" s="37">
        <v>0</v>
      </c>
      <c r="L52" s="53" t="s">
        <v>107</v>
      </c>
    </row>
    <row r="53" spans="1:12" x14ac:dyDescent="0.35">
      <c r="A53">
        <v>3400</v>
      </c>
      <c r="B53" s="57">
        <v>0</v>
      </c>
      <c r="C53" s="37">
        <v>0</v>
      </c>
      <c r="D53" s="37">
        <v>0</v>
      </c>
      <c r="E53" s="37">
        <v>0</v>
      </c>
      <c r="F53" s="37">
        <v>0</v>
      </c>
      <c r="G53" s="37">
        <v>0</v>
      </c>
      <c r="H53" s="37">
        <v>0</v>
      </c>
      <c r="I53" s="37">
        <v>0</v>
      </c>
      <c r="J53" s="37">
        <v>0</v>
      </c>
      <c r="K53" s="37">
        <v>0</v>
      </c>
      <c r="L53" s="53" t="s">
        <v>107</v>
      </c>
    </row>
    <row r="54" spans="1:12" x14ac:dyDescent="0.35">
      <c r="A54">
        <v>3600</v>
      </c>
      <c r="B54" s="57">
        <v>0</v>
      </c>
      <c r="C54" s="37">
        <v>0</v>
      </c>
      <c r="D54" s="37">
        <v>0</v>
      </c>
      <c r="E54" s="37">
        <v>0</v>
      </c>
      <c r="F54" s="37">
        <v>0</v>
      </c>
      <c r="G54" s="37">
        <v>0</v>
      </c>
      <c r="H54" s="37">
        <v>0</v>
      </c>
      <c r="I54" s="37">
        <v>0</v>
      </c>
      <c r="J54" s="37">
        <v>0</v>
      </c>
      <c r="K54" s="37">
        <v>0</v>
      </c>
      <c r="L54" s="53" t="s">
        <v>107</v>
      </c>
    </row>
    <row r="55" spans="1:12" x14ac:dyDescent="0.35">
      <c r="A55">
        <v>3800</v>
      </c>
      <c r="B55" s="57">
        <v>0</v>
      </c>
      <c r="C55" s="37">
        <v>0</v>
      </c>
      <c r="D55" s="37">
        <v>0</v>
      </c>
      <c r="E55" s="37">
        <v>0</v>
      </c>
      <c r="F55" s="37">
        <v>0</v>
      </c>
      <c r="G55" s="37">
        <v>0</v>
      </c>
      <c r="H55" s="37">
        <v>0</v>
      </c>
      <c r="I55" s="37">
        <v>0</v>
      </c>
      <c r="J55" s="37">
        <v>0</v>
      </c>
      <c r="K55" s="37">
        <v>0</v>
      </c>
      <c r="L55" s="53" t="s">
        <v>107</v>
      </c>
    </row>
    <row r="56" spans="1:12" x14ac:dyDescent="0.35">
      <c r="A56">
        <v>4000</v>
      </c>
      <c r="B56" s="57">
        <v>0</v>
      </c>
      <c r="C56" s="37">
        <v>0</v>
      </c>
      <c r="D56" s="37">
        <v>0</v>
      </c>
      <c r="E56" s="37">
        <v>0</v>
      </c>
      <c r="F56" s="37">
        <v>0</v>
      </c>
      <c r="G56" s="37">
        <v>0</v>
      </c>
      <c r="H56" s="37">
        <v>0</v>
      </c>
      <c r="I56" s="37">
        <v>0</v>
      </c>
      <c r="J56" s="37">
        <v>0</v>
      </c>
      <c r="K56" s="37">
        <v>0</v>
      </c>
      <c r="L56" s="53" t="s">
        <v>107</v>
      </c>
    </row>
    <row r="57" spans="1:12" x14ac:dyDescent="0.35">
      <c r="A57">
        <v>4200</v>
      </c>
      <c r="B57" s="57">
        <v>0</v>
      </c>
      <c r="C57" s="37">
        <v>0</v>
      </c>
      <c r="D57" s="37">
        <v>0</v>
      </c>
      <c r="E57" s="37">
        <v>0</v>
      </c>
      <c r="F57" s="37">
        <v>0</v>
      </c>
      <c r="G57" s="37">
        <v>0</v>
      </c>
      <c r="H57" s="37">
        <v>0</v>
      </c>
      <c r="I57" s="37">
        <v>0</v>
      </c>
      <c r="J57" s="37">
        <v>0</v>
      </c>
      <c r="K57" s="37">
        <v>0</v>
      </c>
      <c r="L57" s="53" t="s">
        <v>107</v>
      </c>
    </row>
    <row r="58" spans="1:12" x14ac:dyDescent="0.35">
      <c r="A58">
        <v>4400</v>
      </c>
      <c r="B58" s="57">
        <v>0</v>
      </c>
      <c r="C58" s="37">
        <v>0</v>
      </c>
      <c r="D58" s="37">
        <v>0</v>
      </c>
      <c r="E58" s="37">
        <v>0</v>
      </c>
      <c r="F58" s="37">
        <v>0</v>
      </c>
      <c r="G58" s="37">
        <v>0</v>
      </c>
      <c r="H58" s="37">
        <v>0</v>
      </c>
      <c r="I58" s="37">
        <v>0</v>
      </c>
      <c r="J58" s="37">
        <v>0</v>
      </c>
      <c r="K58" s="37">
        <v>0</v>
      </c>
      <c r="L58" s="53" t="s">
        <v>107</v>
      </c>
    </row>
    <row r="59" spans="1:12" x14ac:dyDescent="0.35">
      <c r="A59">
        <v>4600</v>
      </c>
      <c r="B59" s="57">
        <v>0</v>
      </c>
      <c r="C59" s="37">
        <v>0</v>
      </c>
      <c r="D59" s="37">
        <v>0</v>
      </c>
      <c r="E59" s="37">
        <v>0</v>
      </c>
      <c r="F59" s="37">
        <v>0</v>
      </c>
      <c r="G59" s="37">
        <v>0</v>
      </c>
      <c r="H59" s="37">
        <v>0</v>
      </c>
      <c r="I59" s="37">
        <v>0</v>
      </c>
      <c r="J59" s="37">
        <v>0</v>
      </c>
      <c r="K59" s="37">
        <v>0</v>
      </c>
      <c r="L59" s="53" t="s">
        <v>107</v>
      </c>
    </row>
    <row r="60" spans="1:12" x14ac:dyDescent="0.35">
      <c r="A60">
        <v>4800</v>
      </c>
      <c r="B60" s="57">
        <v>0</v>
      </c>
      <c r="C60" s="37">
        <v>0</v>
      </c>
      <c r="D60" s="37">
        <v>0</v>
      </c>
      <c r="E60" s="37">
        <v>0</v>
      </c>
      <c r="F60" s="37">
        <v>0</v>
      </c>
      <c r="G60" s="37">
        <v>0</v>
      </c>
      <c r="H60" s="37">
        <v>0</v>
      </c>
      <c r="I60" s="37">
        <v>0</v>
      </c>
      <c r="J60" s="37">
        <v>0</v>
      </c>
      <c r="K60" s="37">
        <v>0</v>
      </c>
      <c r="L60" s="53" t="s">
        <v>107</v>
      </c>
    </row>
    <row r="61" spans="1:12" x14ac:dyDescent="0.35">
      <c r="A61">
        <v>5000</v>
      </c>
      <c r="B61" s="57">
        <v>0</v>
      </c>
      <c r="C61" s="37">
        <v>0</v>
      </c>
      <c r="D61" s="37">
        <v>0</v>
      </c>
      <c r="E61" s="37">
        <v>0</v>
      </c>
      <c r="F61" s="37">
        <v>0</v>
      </c>
      <c r="G61" s="37">
        <v>0</v>
      </c>
      <c r="H61" s="37">
        <v>0</v>
      </c>
      <c r="I61" s="37">
        <v>0</v>
      </c>
      <c r="J61" s="37">
        <v>0</v>
      </c>
      <c r="K61" s="37">
        <v>0</v>
      </c>
      <c r="L61" s="53" t="s">
        <v>107</v>
      </c>
    </row>
    <row r="62" spans="1:12" x14ac:dyDescent="0.35">
      <c r="A62">
        <v>5200</v>
      </c>
      <c r="B62" s="57">
        <v>0</v>
      </c>
      <c r="C62" s="37">
        <v>0</v>
      </c>
      <c r="D62" s="37">
        <v>0</v>
      </c>
      <c r="E62" s="37">
        <v>0</v>
      </c>
      <c r="F62" s="37">
        <v>0</v>
      </c>
      <c r="G62" s="37">
        <v>0</v>
      </c>
      <c r="H62" s="37">
        <v>0</v>
      </c>
      <c r="I62" s="37">
        <v>0</v>
      </c>
      <c r="J62" s="37">
        <v>0</v>
      </c>
      <c r="K62" s="37">
        <v>0</v>
      </c>
      <c r="L62" s="53" t="s">
        <v>107</v>
      </c>
    </row>
    <row r="63" spans="1:12" x14ac:dyDescent="0.35">
      <c r="A63">
        <v>5400</v>
      </c>
      <c r="B63" s="57">
        <v>0</v>
      </c>
      <c r="C63" s="37">
        <v>0</v>
      </c>
      <c r="D63" s="37">
        <v>0</v>
      </c>
      <c r="E63" s="37">
        <v>0</v>
      </c>
      <c r="F63" s="37">
        <v>0</v>
      </c>
      <c r="G63" s="37">
        <v>0</v>
      </c>
      <c r="H63" s="37">
        <v>0</v>
      </c>
      <c r="I63" s="37">
        <v>0</v>
      </c>
      <c r="J63" s="37">
        <v>0</v>
      </c>
      <c r="K63" s="37">
        <v>0</v>
      </c>
      <c r="L63" s="53" t="s">
        <v>107</v>
      </c>
    </row>
    <row r="64" spans="1:12" x14ac:dyDescent="0.35">
      <c r="A64">
        <v>5600</v>
      </c>
      <c r="B64" s="57">
        <v>0</v>
      </c>
      <c r="C64" s="37">
        <v>0</v>
      </c>
      <c r="D64" s="37">
        <v>0</v>
      </c>
      <c r="E64" s="37">
        <v>0</v>
      </c>
      <c r="F64" s="37">
        <v>0</v>
      </c>
      <c r="G64" s="37">
        <v>0</v>
      </c>
      <c r="H64" s="37">
        <v>0</v>
      </c>
      <c r="I64" s="37">
        <v>0</v>
      </c>
      <c r="J64" s="37">
        <v>0</v>
      </c>
      <c r="K64" s="37">
        <v>0</v>
      </c>
      <c r="L64" s="53" t="s">
        <v>107</v>
      </c>
    </row>
    <row r="65" spans="1:12" x14ac:dyDescent="0.35">
      <c r="A65">
        <v>5800</v>
      </c>
      <c r="B65" s="57">
        <v>0</v>
      </c>
      <c r="C65" s="37">
        <v>0</v>
      </c>
      <c r="D65" s="37">
        <v>0</v>
      </c>
      <c r="E65" s="37">
        <v>0</v>
      </c>
      <c r="F65" s="37">
        <v>0</v>
      </c>
      <c r="G65" s="37">
        <v>0</v>
      </c>
      <c r="H65" s="37">
        <v>0</v>
      </c>
      <c r="I65" s="37">
        <v>0</v>
      </c>
      <c r="J65" s="37">
        <v>0</v>
      </c>
      <c r="K65" s="37">
        <v>0</v>
      </c>
      <c r="L65" s="53" t="s">
        <v>107</v>
      </c>
    </row>
    <row r="66" spans="1:12" x14ac:dyDescent="0.35">
      <c r="A66">
        <v>6000</v>
      </c>
      <c r="B66" s="57">
        <v>0</v>
      </c>
      <c r="C66" s="37">
        <v>0</v>
      </c>
      <c r="D66" s="37">
        <v>0</v>
      </c>
      <c r="E66" s="37">
        <v>0</v>
      </c>
      <c r="F66" s="37">
        <v>0</v>
      </c>
      <c r="G66" s="37">
        <v>0</v>
      </c>
      <c r="H66" s="37">
        <v>0</v>
      </c>
      <c r="I66" s="37">
        <v>0</v>
      </c>
      <c r="J66" s="37">
        <v>0</v>
      </c>
      <c r="K66" s="37">
        <v>0</v>
      </c>
      <c r="L66" s="53" t="s">
        <v>107</v>
      </c>
    </row>
    <row r="67" spans="1:12" x14ac:dyDescent="0.35">
      <c r="A67">
        <v>6200</v>
      </c>
      <c r="B67" s="57">
        <v>0</v>
      </c>
      <c r="C67" s="37">
        <v>0</v>
      </c>
      <c r="D67" s="37">
        <v>0</v>
      </c>
      <c r="E67" s="37">
        <v>0</v>
      </c>
      <c r="F67" s="37">
        <v>0</v>
      </c>
      <c r="G67" s="37">
        <v>0</v>
      </c>
      <c r="H67" s="37">
        <v>0</v>
      </c>
      <c r="I67" s="37">
        <v>0</v>
      </c>
      <c r="J67" s="37">
        <v>0</v>
      </c>
      <c r="K67" s="37">
        <v>0</v>
      </c>
      <c r="L67" s="53" t="s">
        <v>107</v>
      </c>
    </row>
    <row r="68" spans="1:12" x14ac:dyDescent="0.35">
      <c r="A68">
        <v>6400</v>
      </c>
      <c r="B68" s="57">
        <v>0</v>
      </c>
      <c r="C68" s="37">
        <v>0</v>
      </c>
      <c r="D68" s="37">
        <v>0</v>
      </c>
      <c r="E68" s="37">
        <v>0</v>
      </c>
      <c r="F68" s="37">
        <v>0</v>
      </c>
      <c r="G68" s="37">
        <v>0</v>
      </c>
      <c r="H68" s="37">
        <v>0</v>
      </c>
      <c r="I68" s="37">
        <v>0</v>
      </c>
      <c r="J68" s="37">
        <v>0</v>
      </c>
      <c r="K68" s="37">
        <v>0</v>
      </c>
      <c r="L68" s="53" t="s">
        <v>107</v>
      </c>
    </row>
    <row r="69" spans="1:12" x14ac:dyDescent="0.35">
      <c r="A69">
        <v>6600</v>
      </c>
      <c r="B69" s="57">
        <v>0</v>
      </c>
      <c r="C69" s="37">
        <v>0</v>
      </c>
      <c r="D69" s="37">
        <v>0</v>
      </c>
      <c r="E69" s="37">
        <v>0</v>
      </c>
      <c r="F69" s="37">
        <v>0</v>
      </c>
      <c r="G69" s="37">
        <v>0</v>
      </c>
      <c r="H69" s="37">
        <v>0</v>
      </c>
      <c r="I69" s="37">
        <v>0</v>
      </c>
      <c r="J69" s="37">
        <v>0</v>
      </c>
      <c r="K69" s="37">
        <v>0</v>
      </c>
      <c r="L69" s="53" t="s">
        <v>107</v>
      </c>
    </row>
    <row r="70" spans="1:12" x14ac:dyDescent="0.35">
      <c r="A70">
        <v>6800</v>
      </c>
      <c r="B70" s="57">
        <v>0</v>
      </c>
      <c r="C70" s="37">
        <v>0</v>
      </c>
      <c r="D70" s="37">
        <v>0</v>
      </c>
      <c r="E70" s="37">
        <v>0</v>
      </c>
      <c r="F70" s="37">
        <v>0</v>
      </c>
      <c r="G70" s="37">
        <v>0</v>
      </c>
      <c r="H70" s="37">
        <v>0</v>
      </c>
      <c r="I70" s="37">
        <v>0</v>
      </c>
      <c r="J70" s="37">
        <v>0</v>
      </c>
      <c r="K70" s="37">
        <v>0</v>
      </c>
      <c r="L70" s="53" t="s">
        <v>107</v>
      </c>
    </row>
    <row r="71" spans="1:12" x14ac:dyDescent="0.35">
      <c r="A71">
        <v>7000</v>
      </c>
      <c r="B71" s="60">
        <v>0</v>
      </c>
      <c r="C71" s="39">
        <v>0</v>
      </c>
      <c r="D71" s="39">
        <v>0</v>
      </c>
      <c r="E71" s="39">
        <v>0</v>
      </c>
      <c r="F71" s="39">
        <v>0</v>
      </c>
      <c r="G71" s="39">
        <v>0</v>
      </c>
      <c r="H71" s="39">
        <v>0</v>
      </c>
      <c r="I71" s="39">
        <v>0</v>
      </c>
      <c r="J71" s="39">
        <v>0</v>
      </c>
      <c r="K71" s="39">
        <v>0</v>
      </c>
      <c r="L71" s="54" t="s">
        <v>107</v>
      </c>
    </row>
    <row r="73" spans="1:12" x14ac:dyDescent="0.35">
      <c r="A73" s="43" t="s">
        <v>89</v>
      </c>
      <c r="B73">
        <v>11</v>
      </c>
      <c r="C73">
        <v>11.5</v>
      </c>
      <c r="D73">
        <v>12</v>
      </c>
      <c r="E73">
        <v>12.5</v>
      </c>
      <c r="F73">
        <v>13</v>
      </c>
      <c r="G73">
        <v>13.5</v>
      </c>
      <c r="H73">
        <v>14</v>
      </c>
      <c r="I73">
        <v>14.5</v>
      </c>
      <c r="J73">
        <v>15</v>
      </c>
      <c r="K73">
        <v>15.5</v>
      </c>
      <c r="L73">
        <v>16</v>
      </c>
    </row>
    <row r="74" spans="1:12" x14ac:dyDescent="0.35">
      <c r="A74">
        <v>3000</v>
      </c>
      <c r="B74" s="58">
        <v>3.6632425488076316E-12</v>
      </c>
      <c r="C74" s="35">
        <v>3.6632425488076316E-12</v>
      </c>
      <c r="D74" s="35">
        <v>3.6632425488076316E-12</v>
      </c>
      <c r="E74" s="35">
        <v>3.6632425488076316E-12</v>
      </c>
      <c r="F74" s="35">
        <v>3.6632425488076316E-12</v>
      </c>
      <c r="G74" s="35">
        <v>3.6632425488076316E-12</v>
      </c>
      <c r="H74" s="35">
        <v>3.536923840228057E-12</v>
      </c>
      <c r="I74" s="35">
        <v>185.1851851851859</v>
      </c>
      <c r="J74" s="35">
        <v>185.18518518519272</v>
      </c>
      <c r="K74" s="35">
        <v>185.18518518519275</v>
      </c>
      <c r="L74" s="52" t="s">
        <v>107</v>
      </c>
    </row>
    <row r="75" spans="1:12" x14ac:dyDescent="0.35">
      <c r="A75">
        <v>3200</v>
      </c>
      <c r="B75" s="57">
        <v>3.7895612573872053E-12</v>
      </c>
      <c r="C75" s="37">
        <v>3.7895612573872053E-12</v>
      </c>
      <c r="D75" s="37">
        <v>3.7895612573872053E-12</v>
      </c>
      <c r="E75" s="37">
        <v>3.7895612573872053E-12</v>
      </c>
      <c r="F75" s="37">
        <v>3.7895612573872053E-12</v>
      </c>
      <c r="G75" s="37">
        <v>3.7895612573872053E-12</v>
      </c>
      <c r="H75" s="37">
        <v>3.6632425488076308E-12</v>
      </c>
      <c r="I75" s="37">
        <v>197.5308641975316</v>
      </c>
      <c r="J75" s="37">
        <v>197.5308641975389</v>
      </c>
      <c r="K75" s="37">
        <v>197.53086419753896</v>
      </c>
      <c r="L75" s="53" t="s">
        <v>107</v>
      </c>
    </row>
    <row r="76" spans="1:12" x14ac:dyDescent="0.35">
      <c r="A76">
        <v>3400</v>
      </c>
      <c r="B76" s="57">
        <v>4.0421986745463519E-12</v>
      </c>
      <c r="C76" s="37">
        <v>4.0421986745463519E-12</v>
      </c>
      <c r="D76" s="37">
        <v>4.0421986745463519E-12</v>
      </c>
      <c r="E76" s="37">
        <v>4.0421986745463519E-12</v>
      </c>
      <c r="F76" s="37">
        <v>4.0421986745463519E-12</v>
      </c>
      <c r="G76" s="37">
        <v>4.0421986745463519E-12</v>
      </c>
      <c r="H76" s="37">
        <v>3.9158799659667774E-12</v>
      </c>
      <c r="I76" s="37">
        <v>209.87654320987727</v>
      </c>
      <c r="J76" s="37">
        <v>209.87654320988503</v>
      </c>
      <c r="K76" s="37">
        <v>209.87654320988511</v>
      </c>
      <c r="L76" s="53" t="s">
        <v>107</v>
      </c>
    </row>
    <row r="77" spans="1:12" x14ac:dyDescent="0.35">
      <c r="A77">
        <v>3600</v>
      </c>
      <c r="B77" s="57">
        <v>4.4211548002850723E-12</v>
      </c>
      <c r="C77" s="37">
        <v>4.4211548002850723E-12</v>
      </c>
      <c r="D77" s="37">
        <v>4.4211548002850723E-12</v>
      </c>
      <c r="E77" s="37">
        <v>4.4211548002850723E-12</v>
      </c>
      <c r="F77" s="37">
        <v>4.4211548002850723E-12</v>
      </c>
      <c r="G77" s="37">
        <v>4.4211548002850723E-12</v>
      </c>
      <c r="H77" s="37">
        <v>4.1685173831259249E-12</v>
      </c>
      <c r="I77" s="37">
        <v>222.22222222222297</v>
      </c>
      <c r="J77" s="37">
        <v>222.22222222223124</v>
      </c>
      <c r="K77" s="37">
        <v>222.22222222223132</v>
      </c>
      <c r="L77" s="53" t="s">
        <v>107</v>
      </c>
    </row>
    <row r="78" spans="1:12" x14ac:dyDescent="0.35">
      <c r="A78">
        <v>3800</v>
      </c>
      <c r="B78" s="57">
        <v>4.6737922174442198E-12</v>
      </c>
      <c r="C78" s="37">
        <v>4.6737922174442198E-12</v>
      </c>
      <c r="D78" s="37">
        <v>4.6737922174442198E-12</v>
      </c>
      <c r="E78" s="37">
        <v>4.6737922174442198E-12</v>
      </c>
      <c r="F78" s="37">
        <v>4.6737922174442198E-12</v>
      </c>
      <c r="G78" s="37">
        <v>4.6737922174442198E-12</v>
      </c>
      <c r="H78" s="37">
        <v>4.4211548002850715E-12</v>
      </c>
      <c r="I78" s="37">
        <v>234.56790123456886</v>
      </c>
      <c r="J78" s="37">
        <v>234.5679012345775</v>
      </c>
      <c r="K78" s="37">
        <v>234.56790123457742</v>
      </c>
      <c r="L78" s="53" t="s">
        <v>107</v>
      </c>
    </row>
    <row r="79" spans="1:12" x14ac:dyDescent="0.35">
      <c r="A79">
        <v>4000</v>
      </c>
      <c r="B79" s="57">
        <v>4.8001109260237927E-12</v>
      </c>
      <c r="C79" s="37">
        <v>4.8001109260237927E-12</v>
      </c>
      <c r="D79" s="37">
        <v>4.8001109260237927E-12</v>
      </c>
      <c r="E79" s="37">
        <v>4.8001109260237927E-12</v>
      </c>
      <c r="F79" s="37">
        <v>4.8001109260237927E-12</v>
      </c>
      <c r="G79" s="37">
        <v>4.8001109260237927E-12</v>
      </c>
      <c r="H79" s="37">
        <v>4.6737922174442181E-12</v>
      </c>
      <c r="I79" s="37">
        <v>246.91358024691445</v>
      </c>
      <c r="J79" s="37">
        <v>246.9135802469236</v>
      </c>
      <c r="K79" s="37">
        <v>246.91358024692366</v>
      </c>
      <c r="L79" s="53" t="s">
        <v>107</v>
      </c>
    </row>
    <row r="80" spans="1:12" x14ac:dyDescent="0.35">
      <c r="A80">
        <v>4200</v>
      </c>
      <c r="B80" s="57">
        <v>5.3053857603420868E-12</v>
      </c>
      <c r="C80" s="37">
        <v>5.3053857603420868E-12</v>
      </c>
      <c r="D80" s="37">
        <v>5.3053857603420868E-12</v>
      </c>
      <c r="E80" s="37">
        <v>5.3053857603420868E-12</v>
      </c>
      <c r="F80" s="37">
        <v>5.3053857603420868E-12</v>
      </c>
      <c r="G80" s="37">
        <v>5.3053857603420868E-12</v>
      </c>
      <c r="H80" s="37">
        <v>4.9264296346033656E-12</v>
      </c>
      <c r="I80" s="37">
        <v>259.2592592592602</v>
      </c>
      <c r="J80" s="37">
        <v>259.25925925926975</v>
      </c>
      <c r="K80" s="37">
        <v>259.25925925926981</v>
      </c>
      <c r="L80" s="53" t="s">
        <v>107</v>
      </c>
    </row>
    <row r="81" spans="1:12" x14ac:dyDescent="0.35">
      <c r="A81">
        <v>4400</v>
      </c>
      <c r="B81" s="57">
        <v>5.3053857603420868E-12</v>
      </c>
      <c r="C81" s="37">
        <v>5.3053857603420868E-12</v>
      </c>
      <c r="D81" s="37">
        <v>5.3053857603420868E-12</v>
      </c>
      <c r="E81" s="37">
        <v>5.3053857603420868E-12</v>
      </c>
      <c r="F81" s="37">
        <v>5.3053857603420868E-12</v>
      </c>
      <c r="G81" s="37">
        <v>5.3053857603420868E-12</v>
      </c>
      <c r="H81" s="37">
        <v>5.1790670517625122E-12</v>
      </c>
      <c r="I81" s="37">
        <v>271.60493827160599</v>
      </c>
      <c r="J81" s="37">
        <v>271.60493827161588</v>
      </c>
      <c r="K81" s="37">
        <v>271.60493827161605</v>
      </c>
      <c r="L81" s="53" t="s">
        <v>107</v>
      </c>
    </row>
    <row r="82" spans="1:12" x14ac:dyDescent="0.35">
      <c r="A82">
        <v>4600</v>
      </c>
      <c r="B82" s="57">
        <v>5.8106605946603809E-12</v>
      </c>
      <c r="C82" s="37">
        <v>5.8106605946603809E-12</v>
      </c>
      <c r="D82" s="37">
        <v>5.8106605946603809E-12</v>
      </c>
      <c r="E82" s="37">
        <v>5.8106605946603809E-12</v>
      </c>
      <c r="F82" s="37">
        <v>5.8106605946603809E-12</v>
      </c>
      <c r="G82" s="37">
        <v>5.8106605946603809E-12</v>
      </c>
      <c r="H82" s="37">
        <v>5.305385760342086E-12</v>
      </c>
      <c r="I82" s="37">
        <v>283.95061728395132</v>
      </c>
      <c r="J82" s="37">
        <v>283.95061728396212</v>
      </c>
      <c r="K82" s="37">
        <v>283.95061728396217</v>
      </c>
      <c r="L82" s="53" t="s">
        <v>107</v>
      </c>
    </row>
    <row r="83" spans="1:12" x14ac:dyDescent="0.35">
      <c r="A83">
        <v>4800</v>
      </c>
      <c r="B83" s="57">
        <v>5.8106605946603809E-12</v>
      </c>
      <c r="C83" s="37">
        <v>5.8106605946603809E-12</v>
      </c>
      <c r="D83" s="37">
        <v>5.8106605946603809E-12</v>
      </c>
      <c r="E83" s="37">
        <v>5.8106605946603809E-12</v>
      </c>
      <c r="F83" s="37">
        <v>5.8106605946603809E-12</v>
      </c>
      <c r="G83" s="37">
        <v>5.8106605946603809E-12</v>
      </c>
      <c r="H83" s="37">
        <v>5.5580231775012326E-12</v>
      </c>
      <c r="I83" s="37">
        <v>296.29629629629727</v>
      </c>
      <c r="J83" s="37">
        <v>296.29629629630841</v>
      </c>
      <c r="K83" s="37">
        <v>296.29629629630836</v>
      </c>
      <c r="L83" s="53" t="s">
        <v>107</v>
      </c>
    </row>
    <row r="84" spans="1:12" x14ac:dyDescent="0.35">
      <c r="A84">
        <v>5000</v>
      </c>
      <c r="B84" s="57">
        <v>6.0632980118195275E-12</v>
      </c>
      <c r="C84" s="37">
        <v>6.0632980118195275E-12</v>
      </c>
      <c r="D84" s="37">
        <v>6.0632980118195275E-12</v>
      </c>
      <c r="E84" s="37">
        <v>6.0632980118195275E-12</v>
      </c>
      <c r="F84" s="37">
        <v>6.0632980118195275E-12</v>
      </c>
      <c r="G84" s="37">
        <v>6.0632980118195275E-12</v>
      </c>
      <c r="H84" s="37">
        <v>5.8106605946603801E-12</v>
      </c>
      <c r="I84" s="37">
        <v>308.641975308643</v>
      </c>
      <c r="J84" s="37">
        <v>308.64197530865442</v>
      </c>
      <c r="K84" s="37">
        <v>308.64197530865465</v>
      </c>
      <c r="L84" s="53" t="s">
        <v>107</v>
      </c>
    </row>
    <row r="85" spans="1:12" x14ac:dyDescent="0.35">
      <c r="A85">
        <v>5200</v>
      </c>
      <c r="B85" s="57">
        <v>6.315935428978675E-12</v>
      </c>
      <c r="C85" s="37">
        <v>6.315935428978675E-12</v>
      </c>
      <c r="D85" s="37">
        <v>6.315935428978675E-12</v>
      </c>
      <c r="E85" s="37">
        <v>6.315935428978675E-12</v>
      </c>
      <c r="F85" s="37">
        <v>6.315935428978675E-12</v>
      </c>
      <c r="G85" s="37">
        <v>6.315935428978675E-12</v>
      </c>
      <c r="H85" s="37">
        <v>6.0632980118195267E-12</v>
      </c>
      <c r="I85" s="37">
        <v>320.98765432098901</v>
      </c>
      <c r="J85" s="37">
        <v>320.98765432100066</v>
      </c>
      <c r="K85" s="37">
        <v>320.98765432100066</v>
      </c>
      <c r="L85" s="53" t="s">
        <v>107</v>
      </c>
    </row>
    <row r="86" spans="1:12" x14ac:dyDescent="0.35">
      <c r="A86">
        <v>5400</v>
      </c>
      <c r="B86" s="57">
        <v>6.5685728461378216E-12</v>
      </c>
      <c r="C86" s="37">
        <v>6.5685728461378216E-12</v>
      </c>
      <c r="D86" s="37">
        <v>6.5685728461378216E-12</v>
      </c>
      <c r="E86" s="37">
        <v>6.5685728461378216E-12</v>
      </c>
      <c r="F86" s="37">
        <v>6.5685728461378216E-12</v>
      </c>
      <c r="G86" s="37">
        <v>6.5685728461378216E-12</v>
      </c>
      <c r="H86" s="37">
        <v>6.0632980118195267E-12</v>
      </c>
      <c r="I86" s="37">
        <v>333.33333333333468</v>
      </c>
      <c r="J86" s="37">
        <v>333.33333333334673</v>
      </c>
      <c r="K86" s="37">
        <v>333.33333333334701</v>
      </c>
      <c r="L86" s="53" t="s">
        <v>107</v>
      </c>
    </row>
    <row r="87" spans="1:12" x14ac:dyDescent="0.35">
      <c r="A87">
        <v>5600</v>
      </c>
      <c r="B87" s="57">
        <v>6.5685728461378216E-12</v>
      </c>
      <c r="C87" s="37">
        <v>6.5685728461378216E-12</v>
      </c>
      <c r="D87" s="37">
        <v>6.5685728461378216E-12</v>
      </c>
      <c r="E87" s="37">
        <v>6.5685728461378216E-12</v>
      </c>
      <c r="F87" s="37">
        <v>6.5685728461378216E-12</v>
      </c>
      <c r="G87" s="37">
        <v>6.5685728461378216E-12</v>
      </c>
      <c r="H87" s="37">
        <v>6.5685728461378208E-12</v>
      </c>
      <c r="I87" s="37">
        <v>345.67901234568035</v>
      </c>
      <c r="J87" s="37">
        <v>345.67901234569297</v>
      </c>
      <c r="K87" s="37">
        <v>345.67901234569314</v>
      </c>
      <c r="L87" s="53" t="s">
        <v>107</v>
      </c>
    </row>
    <row r="88" spans="1:12" x14ac:dyDescent="0.35">
      <c r="A88">
        <v>5800</v>
      </c>
      <c r="B88" s="57">
        <v>7.0738476804561157E-12</v>
      </c>
      <c r="C88" s="37">
        <v>7.0738476804561157E-12</v>
      </c>
      <c r="D88" s="37">
        <v>7.0738476804561157E-12</v>
      </c>
      <c r="E88" s="37">
        <v>7.0738476804561157E-12</v>
      </c>
      <c r="F88" s="37">
        <v>7.0738476804561157E-12</v>
      </c>
      <c r="G88" s="37">
        <v>7.0738476804561157E-12</v>
      </c>
      <c r="H88" s="37">
        <v>6.8212102632969674E-12</v>
      </c>
      <c r="I88" s="37">
        <v>358.02469135802636</v>
      </c>
      <c r="J88" s="37">
        <v>358.02469135803921</v>
      </c>
      <c r="K88" s="37">
        <v>358.02469135803926</v>
      </c>
      <c r="L88" s="53" t="s">
        <v>107</v>
      </c>
    </row>
    <row r="89" spans="1:12" x14ac:dyDescent="0.35">
      <c r="A89">
        <v>6000</v>
      </c>
      <c r="B89" s="57">
        <v>7.3264850976152631E-12</v>
      </c>
      <c r="C89" s="37">
        <v>7.3264850976152631E-12</v>
      </c>
      <c r="D89" s="37">
        <v>7.3264850976152631E-12</v>
      </c>
      <c r="E89" s="37">
        <v>7.3264850976152631E-12</v>
      </c>
      <c r="F89" s="37">
        <v>7.3264850976152631E-12</v>
      </c>
      <c r="G89" s="37">
        <v>7.3264850976152631E-12</v>
      </c>
      <c r="H89" s="37">
        <v>7.0738476804561141E-12</v>
      </c>
      <c r="I89" s="37">
        <v>370.3703703703718</v>
      </c>
      <c r="J89" s="37">
        <v>370.37037037038544</v>
      </c>
      <c r="K89" s="37">
        <v>370.3703703703855</v>
      </c>
      <c r="L89" s="53" t="s">
        <v>107</v>
      </c>
    </row>
    <row r="90" spans="1:12" x14ac:dyDescent="0.35">
      <c r="A90">
        <v>6200</v>
      </c>
      <c r="B90" s="57">
        <v>7.5791225147744106E-12</v>
      </c>
      <c r="C90" s="37">
        <v>7.5791225147744106E-12</v>
      </c>
      <c r="D90" s="37">
        <v>7.5791225147744106E-12</v>
      </c>
      <c r="E90" s="37">
        <v>7.5791225147744106E-12</v>
      </c>
      <c r="F90" s="37">
        <v>7.5791225147744106E-12</v>
      </c>
      <c r="G90" s="37">
        <v>7.5791225147744106E-12</v>
      </c>
      <c r="H90" s="37">
        <v>7.3264850976152615E-12</v>
      </c>
      <c r="I90" s="37">
        <v>382.71604938271747</v>
      </c>
      <c r="J90" s="37">
        <v>382.71604938273163</v>
      </c>
      <c r="K90" s="37">
        <v>382.71604938273157</v>
      </c>
      <c r="L90" s="53" t="s">
        <v>107</v>
      </c>
    </row>
    <row r="91" spans="1:12" x14ac:dyDescent="0.35">
      <c r="A91">
        <v>6400</v>
      </c>
      <c r="B91" s="57">
        <v>7.5791225147744106E-12</v>
      </c>
      <c r="C91" s="37">
        <v>7.5791225147744106E-12</v>
      </c>
      <c r="D91" s="37">
        <v>7.5791225147744106E-12</v>
      </c>
      <c r="E91" s="37">
        <v>7.5791225147744106E-12</v>
      </c>
      <c r="F91" s="37">
        <v>7.5791225147744106E-12</v>
      </c>
      <c r="G91" s="37">
        <v>7.5791225147744106E-12</v>
      </c>
      <c r="H91" s="37">
        <v>7.3264850976152615E-12</v>
      </c>
      <c r="I91" s="37">
        <v>395.0617283950632</v>
      </c>
      <c r="J91" s="37">
        <v>395.06172839507781</v>
      </c>
      <c r="K91" s="37">
        <v>395.06172839507792</v>
      </c>
      <c r="L91" s="53" t="s">
        <v>107</v>
      </c>
    </row>
    <row r="92" spans="1:12" x14ac:dyDescent="0.35">
      <c r="A92">
        <v>6600</v>
      </c>
      <c r="B92" s="57">
        <v>8.3370347662518513E-12</v>
      </c>
      <c r="C92" s="37">
        <v>8.3370347662518513E-12</v>
      </c>
      <c r="D92" s="37">
        <v>8.3370347662518513E-12</v>
      </c>
      <c r="E92" s="37">
        <v>8.3370347662518513E-12</v>
      </c>
      <c r="F92" s="37">
        <v>8.3370347662518513E-12</v>
      </c>
      <c r="G92" s="37">
        <v>8.3370347662518513E-12</v>
      </c>
      <c r="H92" s="37">
        <v>7.579122514774409E-12</v>
      </c>
      <c r="I92" s="37">
        <v>407.4074074074091</v>
      </c>
      <c r="J92" s="37">
        <v>407.40740740742388</v>
      </c>
      <c r="K92" s="37">
        <v>407.40740740742405</v>
      </c>
      <c r="L92" s="53" t="s">
        <v>107</v>
      </c>
    </row>
    <row r="93" spans="1:12" x14ac:dyDescent="0.35">
      <c r="A93">
        <v>6800</v>
      </c>
      <c r="B93" s="57">
        <v>8.0843973490927039E-12</v>
      </c>
      <c r="C93" s="37">
        <v>8.0843973490927039E-12</v>
      </c>
      <c r="D93" s="37">
        <v>8.0843973490927039E-12</v>
      </c>
      <c r="E93" s="37">
        <v>8.0843973490927039E-12</v>
      </c>
      <c r="F93" s="37">
        <v>8.0843973490927039E-12</v>
      </c>
      <c r="G93" s="37">
        <v>8.0843973490927039E-12</v>
      </c>
      <c r="H93" s="37">
        <v>7.8317599319335548E-12</v>
      </c>
      <c r="I93" s="37">
        <v>419.75308641975454</v>
      </c>
      <c r="J93" s="37">
        <v>419.75308641977006</v>
      </c>
      <c r="K93" s="37">
        <v>419.75308641977023</v>
      </c>
      <c r="L93" s="53" t="s">
        <v>107</v>
      </c>
    </row>
    <row r="94" spans="1:12" x14ac:dyDescent="0.35">
      <c r="A94">
        <v>7000</v>
      </c>
      <c r="B94" s="60">
        <v>8.5896721834109972E-12</v>
      </c>
      <c r="C94" s="39">
        <v>8.5896721834109972E-12</v>
      </c>
      <c r="D94" s="39">
        <v>8.5896721834109972E-12</v>
      </c>
      <c r="E94" s="39">
        <v>8.5896721834109972E-12</v>
      </c>
      <c r="F94" s="39">
        <v>8.5896721834109972E-12</v>
      </c>
      <c r="G94" s="39">
        <v>8.5896721834109972E-12</v>
      </c>
      <c r="H94" s="39">
        <v>8.0843973490927023E-12</v>
      </c>
      <c r="I94" s="39">
        <v>432.09876543210015</v>
      </c>
      <c r="J94" s="39">
        <v>432.09876543211624</v>
      </c>
      <c r="K94" s="39">
        <v>432.09876543211647</v>
      </c>
      <c r="L94" s="54" t="s">
        <v>107</v>
      </c>
    </row>
    <row r="96" spans="1:12" x14ac:dyDescent="0.35">
      <c r="A96" s="43" t="s">
        <v>82</v>
      </c>
      <c r="B96">
        <v>11</v>
      </c>
      <c r="C96">
        <v>11.5</v>
      </c>
      <c r="D96">
        <v>12</v>
      </c>
      <c r="E96">
        <v>12.5</v>
      </c>
      <c r="F96">
        <v>13</v>
      </c>
      <c r="G96">
        <v>13.5</v>
      </c>
      <c r="H96">
        <v>14</v>
      </c>
      <c r="I96">
        <v>14.5</v>
      </c>
      <c r="J96">
        <v>15</v>
      </c>
      <c r="K96">
        <v>15.5</v>
      </c>
      <c r="L96">
        <v>16</v>
      </c>
    </row>
    <row r="97" spans="1:12" x14ac:dyDescent="0.35">
      <c r="A97">
        <v>3000</v>
      </c>
      <c r="B97" s="22">
        <v>34950</v>
      </c>
      <c r="C97" s="64">
        <v>35700</v>
      </c>
      <c r="D97" s="64">
        <v>36450</v>
      </c>
      <c r="E97" s="64">
        <v>37200</v>
      </c>
      <c r="F97" s="64">
        <v>37950</v>
      </c>
      <c r="G97" s="64">
        <v>38700</v>
      </c>
      <c r="H97" s="64">
        <v>39450</v>
      </c>
      <c r="I97" s="64">
        <v>40129.629999999997</v>
      </c>
      <c r="J97" s="64">
        <v>40796.300000000003</v>
      </c>
      <c r="K97" s="64">
        <v>41462.959999999999</v>
      </c>
      <c r="L97" s="52" t="s">
        <v>107</v>
      </c>
    </row>
    <row r="98" spans="1:12" x14ac:dyDescent="0.35">
      <c r="A98">
        <v>3200</v>
      </c>
      <c r="B98" s="24">
        <v>37280</v>
      </c>
      <c r="C98" s="41">
        <v>38080</v>
      </c>
      <c r="D98" s="41">
        <v>38880</v>
      </c>
      <c r="E98" s="41">
        <v>39680</v>
      </c>
      <c r="F98" s="41">
        <v>40480</v>
      </c>
      <c r="G98" s="41">
        <v>41280</v>
      </c>
      <c r="H98" s="41">
        <v>42080</v>
      </c>
      <c r="I98" s="41">
        <v>42804.94</v>
      </c>
      <c r="J98" s="41">
        <v>43516.05</v>
      </c>
      <c r="K98" s="41">
        <v>44227.16</v>
      </c>
      <c r="L98" s="53" t="s">
        <v>107</v>
      </c>
    </row>
    <row r="99" spans="1:12" x14ac:dyDescent="0.35">
      <c r="A99">
        <v>3400</v>
      </c>
      <c r="B99" s="24">
        <v>39610</v>
      </c>
      <c r="C99" s="41">
        <v>40460</v>
      </c>
      <c r="D99" s="41">
        <v>41310</v>
      </c>
      <c r="E99" s="41">
        <v>42160</v>
      </c>
      <c r="F99" s="41">
        <v>43010</v>
      </c>
      <c r="G99" s="41">
        <v>43860</v>
      </c>
      <c r="H99" s="41">
        <v>44710</v>
      </c>
      <c r="I99" s="41">
        <v>45480.25</v>
      </c>
      <c r="J99" s="41">
        <v>46235.8</v>
      </c>
      <c r="K99" s="41">
        <v>46991.360000000001</v>
      </c>
      <c r="L99" s="53" t="s">
        <v>107</v>
      </c>
    </row>
    <row r="100" spans="1:12" x14ac:dyDescent="0.35">
      <c r="A100">
        <v>3600</v>
      </c>
      <c r="B100" s="24">
        <v>41940</v>
      </c>
      <c r="C100" s="41">
        <v>42840</v>
      </c>
      <c r="D100" s="41">
        <v>43740</v>
      </c>
      <c r="E100" s="41">
        <v>44640</v>
      </c>
      <c r="F100" s="41">
        <v>45540</v>
      </c>
      <c r="G100" s="41">
        <v>46440</v>
      </c>
      <c r="H100" s="41">
        <v>47340</v>
      </c>
      <c r="I100" s="41">
        <v>48155.56</v>
      </c>
      <c r="J100" s="41">
        <v>48955.56</v>
      </c>
      <c r="K100" s="41">
        <v>49755.56</v>
      </c>
      <c r="L100" s="53" t="s">
        <v>107</v>
      </c>
    </row>
    <row r="101" spans="1:12" x14ac:dyDescent="0.35">
      <c r="A101">
        <v>3800</v>
      </c>
      <c r="B101" s="24">
        <v>44270</v>
      </c>
      <c r="C101" s="41">
        <v>45220</v>
      </c>
      <c r="D101" s="41">
        <v>46170</v>
      </c>
      <c r="E101" s="41">
        <v>47120</v>
      </c>
      <c r="F101" s="41">
        <v>48070</v>
      </c>
      <c r="G101" s="41">
        <v>49020</v>
      </c>
      <c r="H101" s="41">
        <v>49970</v>
      </c>
      <c r="I101" s="41">
        <v>50830.86</v>
      </c>
      <c r="J101" s="41">
        <v>51675.31</v>
      </c>
      <c r="K101" s="41">
        <v>52519.75</v>
      </c>
      <c r="L101" s="53" t="s">
        <v>107</v>
      </c>
    </row>
    <row r="102" spans="1:12" x14ac:dyDescent="0.35">
      <c r="A102">
        <v>4000</v>
      </c>
      <c r="B102" s="24">
        <v>46600</v>
      </c>
      <c r="C102" s="41">
        <v>47600</v>
      </c>
      <c r="D102" s="41">
        <v>48600</v>
      </c>
      <c r="E102" s="41">
        <v>49600</v>
      </c>
      <c r="F102" s="41">
        <v>50600</v>
      </c>
      <c r="G102" s="41">
        <v>51600</v>
      </c>
      <c r="H102" s="41">
        <v>52600</v>
      </c>
      <c r="I102" s="41">
        <v>53506.17</v>
      </c>
      <c r="J102" s="41">
        <v>54395.06</v>
      </c>
      <c r="K102" s="41">
        <v>55283.95</v>
      </c>
      <c r="L102" s="53" t="s">
        <v>107</v>
      </c>
    </row>
    <row r="103" spans="1:12" x14ac:dyDescent="0.35">
      <c r="A103">
        <v>4200</v>
      </c>
      <c r="B103" s="24">
        <v>48930</v>
      </c>
      <c r="C103" s="41">
        <v>49980</v>
      </c>
      <c r="D103" s="41">
        <v>51030</v>
      </c>
      <c r="E103" s="41">
        <v>52080</v>
      </c>
      <c r="F103" s="41">
        <v>53130</v>
      </c>
      <c r="G103" s="41">
        <v>54180</v>
      </c>
      <c r="H103" s="41">
        <v>55230</v>
      </c>
      <c r="I103" s="41">
        <v>56181.48</v>
      </c>
      <c r="J103" s="41">
        <v>57114.81</v>
      </c>
      <c r="K103" s="41">
        <v>58048.15</v>
      </c>
      <c r="L103" s="53" t="s">
        <v>107</v>
      </c>
    </row>
    <row r="104" spans="1:12" x14ac:dyDescent="0.35">
      <c r="A104">
        <v>4400</v>
      </c>
      <c r="B104" s="24">
        <v>51260</v>
      </c>
      <c r="C104" s="41">
        <v>52360</v>
      </c>
      <c r="D104" s="41">
        <v>53460</v>
      </c>
      <c r="E104" s="41">
        <v>54560</v>
      </c>
      <c r="F104" s="41">
        <v>55660</v>
      </c>
      <c r="G104" s="41">
        <v>56760</v>
      </c>
      <c r="H104" s="41">
        <v>57860</v>
      </c>
      <c r="I104" s="41">
        <v>58856.79</v>
      </c>
      <c r="J104" s="41">
        <v>59834.57</v>
      </c>
      <c r="K104" s="41">
        <v>60812.35</v>
      </c>
      <c r="L104" s="53" t="s">
        <v>107</v>
      </c>
    </row>
    <row r="105" spans="1:12" x14ac:dyDescent="0.35">
      <c r="A105">
        <v>4600</v>
      </c>
      <c r="B105" s="24">
        <v>53590</v>
      </c>
      <c r="C105" s="41">
        <v>54740</v>
      </c>
      <c r="D105" s="41">
        <v>55890</v>
      </c>
      <c r="E105" s="41">
        <v>57040</v>
      </c>
      <c r="F105" s="41">
        <v>58190</v>
      </c>
      <c r="G105" s="41">
        <v>59340</v>
      </c>
      <c r="H105" s="41">
        <v>60490</v>
      </c>
      <c r="I105" s="41">
        <v>61532.1</v>
      </c>
      <c r="J105" s="41">
        <v>62554.32</v>
      </c>
      <c r="K105" s="41">
        <v>63576.54</v>
      </c>
      <c r="L105" s="53" t="s">
        <v>107</v>
      </c>
    </row>
    <row r="106" spans="1:12" x14ac:dyDescent="0.35">
      <c r="A106">
        <v>4800</v>
      </c>
      <c r="B106" s="24">
        <v>55920</v>
      </c>
      <c r="C106" s="41">
        <v>57120</v>
      </c>
      <c r="D106" s="41">
        <v>58320</v>
      </c>
      <c r="E106" s="41">
        <v>59520</v>
      </c>
      <c r="F106" s="41">
        <v>60720</v>
      </c>
      <c r="G106" s="41">
        <v>61920</v>
      </c>
      <c r="H106" s="41">
        <v>63120</v>
      </c>
      <c r="I106" s="41">
        <v>64207.41</v>
      </c>
      <c r="J106" s="41">
        <v>65274.07</v>
      </c>
      <c r="K106" s="41">
        <v>66340.740000000005</v>
      </c>
      <c r="L106" s="53" t="s">
        <v>107</v>
      </c>
    </row>
    <row r="107" spans="1:12" x14ac:dyDescent="0.35">
      <c r="A107">
        <v>5000</v>
      </c>
      <c r="B107" s="24">
        <v>58250</v>
      </c>
      <c r="C107" s="41">
        <v>59500</v>
      </c>
      <c r="D107" s="41">
        <v>60750</v>
      </c>
      <c r="E107" s="41">
        <v>62000</v>
      </c>
      <c r="F107" s="41">
        <v>63250</v>
      </c>
      <c r="G107" s="41">
        <v>64500</v>
      </c>
      <c r="H107" s="41">
        <v>65750</v>
      </c>
      <c r="I107" s="41">
        <v>66882.720000000001</v>
      </c>
      <c r="J107" s="41">
        <v>67993.83</v>
      </c>
      <c r="K107" s="41">
        <v>69104.94</v>
      </c>
      <c r="L107" s="53" t="s">
        <v>107</v>
      </c>
    </row>
    <row r="108" spans="1:12" x14ac:dyDescent="0.35">
      <c r="A108">
        <v>5200</v>
      </c>
      <c r="B108" s="24">
        <v>60580</v>
      </c>
      <c r="C108" s="41">
        <v>61880</v>
      </c>
      <c r="D108" s="41">
        <v>63180</v>
      </c>
      <c r="E108" s="41">
        <v>64480</v>
      </c>
      <c r="F108" s="41">
        <v>65780</v>
      </c>
      <c r="G108" s="41">
        <v>67080</v>
      </c>
      <c r="H108" s="41">
        <v>68380</v>
      </c>
      <c r="I108" s="41">
        <v>69558.02</v>
      </c>
      <c r="J108" s="41">
        <v>70713.58</v>
      </c>
      <c r="K108" s="41">
        <v>71869.14</v>
      </c>
      <c r="L108" s="53" t="s">
        <v>107</v>
      </c>
    </row>
    <row r="109" spans="1:12" x14ac:dyDescent="0.35">
      <c r="A109">
        <v>5400</v>
      </c>
      <c r="B109" s="24">
        <v>62910</v>
      </c>
      <c r="C109" s="41">
        <v>64260</v>
      </c>
      <c r="D109" s="41">
        <v>65610</v>
      </c>
      <c r="E109" s="41">
        <v>66960</v>
      </c>
      <c r="F109" s="41">
        <v>68310</v>
      </c>
      <c r="G109" s="41">
        <v>69660</v>
      </c>
      <c r="H109" s="41">
        <v>71010</v>
      </c>
      <c r="I109" s="41">
        <v>72233.33</v>
      </c>
      <c r="J109" s="41">
        <v>73433.33</v>
      </c>
      <c r="K109" s="41">
        <v>74633.33</v>
      </c>
      <c r="L109" s="53" t="s">
        <v>107</v>
      </c>
    </row>
    <row r="110" spans="1:12" x14ac:dyDescent="0.35">
      <c r="A110">
        <v>5600</v>
      </c>
      <c r="B110" s="24">
        <v>65240</v>
      </c>
      <c r="C110" s="41">
        <v>66640</v>
      </c>
      <c r="D110" s="41">
        <v>68040</v>
      </c>
      <c r="E110" s="41">
        <v>69440</v>
      </c>
      <c r="F110" s="41">
        <v>70840</v>
      </c>
      <c r="G110" s="41">
        <v>72240</v>
      </c>
      <c r="H110" s="41">
        <v>73640</v>
      </c>
      <c r="I110" s="41">
        <v>74908.639999999999</v>
      </c>
      <c r="J110" s="41">
        <v>76153.09</v>
      </c>
      <c r="K110" s="41">
        <v>77397.53</v>
      </c>
      <c r="L110" s="53" t="s">
        <v>107</v>
      </c>
    </row>
    <row r="111" spans="1:12" x14ac:dyDescent="0.35">
      <c r="A111">
        <v>5800</v>
      </c>
      <c r="B111" s="24">
        <v>67570</v>
      </c>
      <c r="C111" s="41">
        <v>69020</v>
      </c>
      <c r="D111" s="41">
        <v>70470</v>
      </c>
      <c r="E111" s="41">
        <v>71920</v>
      </c>
      <c r="F111" s="41">
        <v>73370</v>
      </c>
      <c r="G111" s="41">
        <v>74820</v>
      </c>
      <c r="H111" s="41">
        <v>76270</v>
      </c>
      <c r="I111" s="41">
        <v>77583.95</v>
      </c>
      <c r="J111" s="41">
        <v>78872.84</v>
      </c>
      <c r="K111" s="41">
        <v>80161.73</v>
      </c>
      <c r="L111" s="53" t="s">
        <v>107</v>
      </c>
    </row>
    <row r="112" spans="1:12" x14ac:dyDescent="0.35">
      <c r="A112">
        <v>6000</v>
      </c>
      <c r="B112" s="24">
        <v>69900</v>
      </c>
      <c r="C112" s="41">
        <v>71400</v>
      </c>
      <c r="D112" s="41">
        <v>72900</v>
      </c>
      <c r="E112" s="41">
        <v>74400</v>
      </c>
      <c r="F112" s="41">
        <v>75900</v>
      </c>
      <c r="G112" s="41">
        <v>77400</v>
      </c>
      <c r="H112" s="41">
        <v>78900</v>
      </c>
      <c r="I112" s="41">
        <v>80259.259999999995</v>
      </c>
      <c r="J112" s="41">
        <v>81592.59</v>
      </c>
      <c r="K112" s="41">
        <v>82925.929999999993</v>
      </c>
      <c r="L112" s="53" t="s">
        <v>107</v>
      </c>
    </row>
    <row r="113" spans="1:12" x14ac:dyDescent="0.35">
      <c r="A113">
        <v>6200</v>
      </c>
      <c r="B113" s="24">
        <v>72230</v>
      </c>
      <c r="C113" s="41">
        <v>73780</v>
      </c>
      <c r="D113" s="41">
        <v>75330</v>
      </c>
      <c r="E113" s="41">
        <v>76880</v>
      </c>
      <c r="F113" s="41">
        <v>78430</v>
      </c>
      <c r="G113" s="41">
        <v>79980</v>
      </c>
      <c r="H113" s="41">
        <v>81530</v>
      </c>
      <c r="I113" s="41">
        <v>82934.570000000007</v>
      </c>
      <c r="J113" s="41">
        <v>84312.35</v>
      </c>
      <c r="K113" s="41">
        <v>85690.12</v>
      </c>
      <c r="L113" s="53" t="s">
        <v>107</v>
      </c>
    </row>
    <row r="114" spans="1:12" x14ac:dyDescent="0.35">
      <c r="A114">
        <v>6400</v>
      </c>
      <c r="B114" s="24">
        <v>74560</v>
      </c>
      <c r="C114" s="41">
        <v>76160</v>
      </c>
      <c r="D114" s="41">
        <v>77760</v>
      </c>
      <c r="E114" s="41">
        <v>79360</v>
      </c>
      <c r="F114" s="41">
        <v>80960</v>
      </c>
      <c r="G114" s="41">
        <v>82560</v>
      </c>
      <c r="H114" s="41">
        <v>84160</v>
      </c>
      <c r="I114" s="41">
        <v>85609.88</v>
      </c>
      <c r="J114" s="41">
        <v>87032.1</v>
      </c>
      <c r="K114" s="41">
        <v>88454.32</v>
      </c>
      <c r="L114" s="53" t="s">
        <v>107</v>
      </c>
    </row>
    <row r="115" spans="1:12" x14ac:dyDescent="0.35">
      <c r="A115">
        <v>6600</v>
      </c>
      <c r="B115" s="24">
        <v>76890</v>
      </c>
      <c r="C115" s="41">
        <v>78540</v>
      </c>
      <c r="D115" s="41">
        <v>80190</v>
      </c>
      <c r="E115" s="41">
        <v>81840</v>
      </c>
      <c r="F115" s="41">
        <v>83490</v>
      </c>
      <c r="G115" s="41">
        <v>85140</v>
      </c>
      <c r="H115" s="41">
        <v>86790</v>
      </c>
      <c r="I115" s="41">
        <v>88285.19</v>
      </c>
      <c r="J115" s="41">
        <v>89751.85</v>
      </c>
      <c r="K115" s="41">
        <v>91218.52</v>
      </c>
      <c r="L115" s="53" t="s">
        <v>107</v>
      </c>
    </row>
    <row r="116" spans="1:12" x14ac:dyDescent="0.35">
      <c r="A116">
        <v>6800</v>
      </c>
      <c r="B116" s="24">
        <v>79220</v>
      </c>
      <c r="C116" s="41">
        <v>80920</v>
      </c>
      <c r="D116" s="41">
        <v>82620</v>
      </c>
      <c r="E116" s="41">
        <v>84320</v>
      </c>
      <c r="F116" s="41">
        <v>86020</v>
      </c>
      <c r="G116" s="41">
        <v>87720</v>
      </c>
      <c r="H116" s="41">
        <v>89420</v>
      </c>
      <c r="I116" s="41">
        <v>90960.49</v>
      </c>
      <c r="J116" s="41">
        <v>92471.6</v>
      </c>
      <c r="K116" s="41">
        <v>93982.720000000001</v>
      </c>
      <c r="L116" s="53" t="s">
        <v>107</v>
      </c>
    </row>
    <row r="117" spans="1:12" x14ac:dyDescent="0.35">
      <c r="A117">
        <v>7000</v>
      </c>
      <c r="B117" s="26">
        <v>81550</v>
      </c>
      <c r="C117" s="65">
        <v>83300</v>
      </c>
      <c r="D117" s="65">
        <v>85050</v>
      </c>
      <c r="E117" s="65">
        <v>86800</v>
      </c>
      <c r="F117" s="65">
        <v>88550</v>
      </c>
      <c r="G117" s="65">
        <v>90300</v>
      </c>
      <c r="H117" s="65">
        <v>92050</v>
      </c>
      <c r="I117" s="65">
        <v>93635.8</v>
      </c>
      <c r="J117" s="65">
        <v>95191.360000000001</v>
      </c>
      <c r="K117" s="65">
        <v>96746.91</v>
      </c>
      <c r="L117" s="54" t="s">
        <v>107</v>
      </c>
    </row>
    <row r="119" spans="1:12" x14ac:dyDescent="0.35">
      <c r="A119" s="43" t="s">
        <v>55</v>
      </c>
      <c r="B119">
        <v>11</v>
      </c>
      <c r="C119">
        <v>11.5</v>
      </c>
      <c r="D119">
        <v>12</v>
      </c>
      <c r="E119">
        <v>12.5</v>
      </c>
      <c r="F119">
        <v>13</v>
      </c>
      <c r="G119">
        <v>13.5</v>
      </c>
      <c r="H119">
        <v>14</v>
      </c>
      <c r="I119">
        <v>14.5</v>
      </c>
      <c r="J119">
        <v>15</v>
      </c>
      <c r="K119">
        <v>15.5</v>
      </c>
      <c r="L119">
        <v>16</v>
      </c>
    </row>
    <row r="120" spans="1:12" x14ac:dyDescent="0.35">
      <c r="A120">
        <v>3000</v>
      </c>
      <c r="B120" s="66">
        <v>11.65</v>
      </c>
      <c r="C120" s="68">
        <v>11.9</v>
      </c>
      <c r="D120" s="68">
        <v>12.15</v>
      </c>
      <c r="E120" s="68">
        <v>12.400000000000002</v>
      </c>
      <c r="F120" s="68">
        <v>12.650000000000002</v>
      </c>
      <c r="G120" s="68">
        <v>12.900000000000002</v>
      </c>
      <c r="H120" s="68">
        <v>13.150000000000004</v>
      </c>
      <c r="I120" s="68">
        <v>13.376543209876539</v>
      </c>
      <c r="J120" s="68">
        <v>13.598765432098771</v>
      </c>
      <c r="K120" s="68">
        <v>13.820987654320987</v>
      </c>
      <c r="L120" s="52" t="s">
        <v>107</v>
      </c>
    </row>
    <row r="121" spans="1:12" x14ac:dyDescent="0.35">
      <c r="A121">
        <v>3200</v>
      </c>
      <c r="B121" s="55">
        <v>11.65</v>
      </c>
      <c r="C121" s="42">
        <v>11.900000000000002</v>
      </c>
      <c r="D121" s="42">
        <v>12.150000000000002</v>
      </c>
      <c r="E121" s="42">
        <v>12.400000000000002</v>
      </c>
      <c r="F121" s="42">
        <v>12.650000000000002</v>
      </c>
      <c r="G121" s="42">
        <v>12.900000000000002</v>
      </c>
      <c r="H121" s="42">
        <v>13.150000000000004</v>
      </c>
      <c r="I121" s="42">
        <v>13.376543209876541</v>
      </c>
      <c r="J121" s="42">
        <v>13.598765432098766</v>
      </c>
      <c r="K121" s="42">
        <v>13.820987654320987</v>
      </c>
      <c r="L121" s="53" t="s">
        <v>107</v>
      </c>
    </row>
    <row r="122" spans="1:12" x14ac:dyDescent="0.35">
      <c r="A122">
        <v>3400</v>
      </c>
      <c r="B122" s="55">
        <v>11.65</v>
      </c>
      <c r="C122" s="42">
        <v>11.9</v>
      </c>
      <c r="D122" s="42">
        <v>12.150000000000002</v>
      </c>
      <c r="E122" s="42">
        <v>12.400000000000002</v>
      </c>
      <c r="F122" s="42">
        <v>12.650000000000004</v>
      </c>
      <c r="G122" s="42">
        <v>12.900000000000004</v>
      </c>
      <c r="H122" s="42">
        <v>13.150000000000004</v>
      </c>
      <c r="I122" s="42">
        <v>13.376543209876544</v>
      </c>
      <c r="J122" s="42">
        <v>13.598765432098766</v>
      </c>
      <c r="K122" s="42">
        <v>13.820987654320986</v>
      </c>
      <c r="L122" s="53" t="s">
        <v>107</v>
      </c>
    </row>
    <row r="123" spans="1:12" x14ac:dyDescent="0.35">
      <c r="A123">
        <v>3600</v>
      </c>
      <c r="B123" s="55">
        <v>11.649999999999999</v>
      </c>
      <c r="C123" s="42">
        <v>11.9</v>
      </c>
      <c r="D123" s="42">
        <v>12.150000000000002</v>
      </c>
      <c r="E123" s="42">
        <v>12.400000000000002</v>
      </c>
      <c r="F123" s="42">
        <v>12.650000000000002</v>
      </c>
      <c r="G123" s="42">
        <v>12.900000000000002</v>
      </c>
      <c r="H123" s="42">
        <v>13.150000000000002</v>
      </c>
      <c r="I123" s="42">
        <v>13.376543209876543</v>
      </c>
      <c r="J123" s="42">
        <v>13.598765432098768</v>
      </c>
      <c r="K123" s="42">
        <v>13.820987654320987</v>
      </c>
      <c r="L123" s="53" t="s">
        <v>107</v>
      </c>
    </row>
    <row r="124" spans="1:12" x14ac:dyDescent="0.35">
      <c r="A124">
        <v>3800</v>
      </c>
      <c r="B124" s="55">
        <v>11.650000000000002</v>
      </c>
      <c r="C124" s="42">
        <v>11.900000000000002</v>
      </c>
      <c r="D124" s="42">
        <v>12.150000000000002</v>
      </c>
      <c r="E124" s="42">
        <v>12.400000000000002</v>
      </c>
      <c r="F124" s="42">
        <v>12.650000000000002</v>
      </c>
      <c r="G124" s="42">
        <v>12.900000000000004</v>
      </c>
      <c r="H124" s="42">
        <v>13.150000000000004</v>
      </c>
      <c r="I124" s="42">
        <v>13.376543209876544</v>
      </c>
      <c r="J124" s="42">
        <v>13.598765432098766</v>
      </c>
      <c r="K124" s="42">
        <v>13.820987654320989</v>
      </c>
      <c r="L124" s="53" t="s">
        <v>107</v>
      </c>
    </row>
    <row r="125" spans="1:12" x14ac:dyDescent="0.35">
      <c r="A125">
        <v>4000</v>
      </c>
      <c r="B125" s="55">
        <v>11.65</v>
      </c>
      <c r="C125" s="42">
        <v>11.9</v>
      </c>
      <c r="D125" s="42">
        <v>12.15</v>
      </c>
      <c r="E125" s="42">
        <v>12.4</v>
      </c>
      <c r="F125" s="42">
        <v>12.65</v>
      </c>
      <c r="G125" s="42">
        <v>12.900000000000002</v>
      </c>
      <c r="H125" s="42">
        <v>13.150000000000004</v>
      </c>
      <c r="I125" s="42">
        <v>13.376543209876543</v>
      </c>
      <c r="J125" s="42">
        <v>13.598765432098764</v>
      </c>
      <c r="K125" s="42">
        <v>13.820987654320989</v>
      </c>
      <c r="L125" s="53" t="s">
        <v>107</v>
      </c>
    </row>
    <row r="126" spans="1:12" x14ac:dyDescent="0.35">
      <c r="A126">
        <v>4200</v>
      </c>
      <c r="B126" s="55">
        <v>11.65</v>
      </c>
      <c r="C126" s="42">
        <v>11.9</v>
      </c>
      <c r="D126" s="42">
        <v>12.150000000000002</v>
      </c>
      <c r="E126" s="42">
        <v>12.400000000000004</v>
      </c>
      <c r="F126" s="42">
        <v>12.650000000000004</v>
      </c>
      <c r="G126" s="42">
        <v>12.900000000000004</v>
      </c>
      <c r="H126" s="42">
        <v>13.150000000000002</v>
      </c>
      <c r="I126" s="42">
        <v>13.376543209876543</v>
      </c>
      <c r="J126" s="42">
        <v>13.598765432098766</v>
      </c>
      <c r="K126" s="42">
        <v>13.820987654320989</v>
      </c>
      <c r="L126" s="53" t="s">
        <v>107</v>
      </c>
    </row>
    <row r="127" spans="1:12" x14ac:dyDescent="0.35">
      <c r="A127">
        <v>4400</v>
      </c>
      <c r="B127" s="55">
        <v>11.65</v>
      </c>
      <c r="C127" s="42">
        <v>11.9</v>
      </c>
      <c r="D127" s="42">
        <v>12.15</v>
      </c>
      <c r="E127" s="42">
        <v>12.400000000000002</v>
      </c>
      <c r="F127" s="42">
        <v>12.650000000000004</v>
      </c>
      <c r="G127" s="42">
        <v>12.900000000000004</v>
      </c>
      <c r="H127" s="42">
        <v>13.150000000000004</v>
      </c>
      <c r="I127" s="42">
        <v>13.376543209876541</v>
      </c>
      <c r="J127" s="42">
        <v>13.598765432098768</v>
      </c>
      <c r="K127" s="42">
        <v>13.820987654320986</v>
      </c>
      <c r="L127" s="53" t="s">
        <v>107</v>
      </c>
    </row>
    <row r="128" spans="1:12" x14ac:dyDescent="0.35">
      <c r="A128">
        <v>4600</v>
      </c>
      <c r="B128" s="55">
        <v>11.650000000000002</v>
      </c>
      <c r="C128" s="42">
        <v>11.900000000000002</v>
      </c>
      <c r="D128" s="42">
        <v>12.150000000000002</v>
      </c>
      <c r="E128" s="42">
        <v>12.400000000000002</v>
      </c>
      <c r="F128" s="42">
        <v>12.650000000000004</v>
      </c>
      <c r="G128" s="42">
        <v>12.900000000000004</v>
      </c>
      <c r="H128" s="42">
        <v>13.150000000000002</v>
      </c>
      <c r="I128" s="42">
        <v>13.376543209876544</v>
      </c>
      <c r="J128" s="42">
        <v>13.598765432098766</v>
      </c>
      <c r="K128" s="42">
        <v>13.820987654320991</v>
      </c>
      <c r="L128" s="53" t="s">
        <v>107</v>
      </c>
    </row>
    <row r="129" spans="1:12" x14ac:dyDescent="0.35">
      <c r="A129">
        <v>4800</v>
      </c>
      <c r="B129" s="55">
        <v>11.650000000000002</v>
      </c>
      <c r="C129" s="42">
        <v>11.900000000000002</v>
      </c>
      <c r="D129" s="42">
        <v>12.150000000000004</v>
      </c>
      <c r="E129" s="42">
        <v>12.400000000000004</v>
      </c>
      <c r="F129" s="42">
        <v>12.650000000000004</v>
      </c>
      <c r="G129" s="42">
        <v>12.900000000000004</v>
      </c>
      <c r="H129" s="42">
        <v>13.150000000000006</v>
      </c>
      <c r="I129" s="42">
        <v>13.376543209876543</v>
      </c>
      <c r="J129" s="42">
        <v>13.598765432098768</v>
      </c>
      <c r="K129" s="42">
        <v>13.820987654320989</v>
      </c>
      <c r="L129" s="53" t="s">
        <v>107</v>
      </c>
    </row>
    <row r="130" spans="1:12" x14ac:dyDescent="0.35">
      <c r="A130">
        <v>5000</v>
      </c>
      <c r="B130" s="55">
        <v>11.649999999999999</v>
      </c>
      <c r="C130" s="42">
        <v>11.9</v>
      </c>
      <c r="D130" s="42">
        <v>12.15</v>
      </c>
      <c r="E130" s="42">
        <v>12.4</v>
      </c>
      <c r="F130" s="42">
        <v>12.650000000000002</v>
      </c>
      <c r="G130" s="42">
        <v>12.900000000000002</v>
      </c>
      <c r="H130" s="42">
        <v>13.150000000000006</v>
      </c>
      <c r="I130" s="42">
        <v>13.376543209876541</v>
      </c>
      <c r="J130" s="42">
        <v>13.598765432098764</v>
      </c>
      <c r="K130" s="42">
        <v>13.820987654320989</v>
      </c>
      <c r="L130" s="53" t="s">
        <v>107</v>
      </c>
    </row>
    <row r="131" spans="1:12" x14ac:dyDescent="0.35">
      <c r="A131">
        <v>5200</v>
      </c>
      <c r="B131" s="55">
        <v>11.65</v>
      </c>
      <c r="C131" s="42">
        <v>11.9</v>
      </c>
      <c r="D131" s="42">
        <v>12.15</v>
      </c>
      <c r="E131" s="42">
        <v>12.4</v>
      </c>
      <c r="F131" s="42">
        <v>12.650000000000004</v>
      </c>
      <c r="G131" s="42">
        <v>12.900000000000004</v>
      </c>
      <c r="H131" s="42">
        <v>13.150000000000002</v>
      </c>
      <c r="I131" s="42">
        <v>13.376543209876541</v>
      </c>
      <c r="J131" s="42">
        <v>13.598765432098768</v>
      </c>
      <c r="K131" s="42">
        <v>13.820987654320986</v>
      </c>
      <c r="L131" s="53" t="s">
        <v>107</v>
      </c>
    </row>
    <row r="132" spans="1:12" x14ac:dyDescent="0.35">
      <c r="A132">
        <v>5400</v>
      </c>
      <c r="B132" s="55">
        <v>11.650000000000002</v>
      </c>
      <c r="C132" s="42">
        <v>11.900000000000004</v>
      </c>
      <c r="D132" s="42">
        <v>12.150000000000002</v>
      </c>
      <c r="E132" s="42">
        <v>12.400000000000002</v>
      </c>
      <c r="F132" s="42">
        <v>12.650000000000006</v>
      </c>
      <c r="G132" s="42">
        <v>12.900000000000006</v>
      </c>
      <c r="H132" s="42">
        <v>13.150000000000002</v>
      </c>
      <c r="I132" s="42">
        <v>13.376543209876543</v>
      </c>
      <c r="J132" s="42">
        <v>13.598765432098768</v>
      </c>
      <c r="K132" s="42">
        <v>13.820987654320987</v>
      </c>
      <c r="L132" s="53" t="s">
        <v>107</v>
      </c>
    </row>
    <row r="133" spans="1:12" x14ac:dyDescent="0.35">
      <c r="A133">
        <v>5600</v>
      </c>
      <c r="B133" s="55">
        <v>11.650000000000004</v>
      </c>
      <c r="C133" s="42">
        <v>11.900000000000002</v>
      </c>
      <c r="D133" s="42">
        <v>12.150000000000002</v>
      </c>
      <c r="E133" s="42">
        <v>12.400000000000002</v>
      </c>
      <c r="F133" s="42">
        <v>12.650000000000004</v>
      </c>
      <c r="G133" s="42">
        <v>12.900000000000004</v>
      </c>
      <c r="H133" s="42">
        <v>13.150000000000004</v>
      </c>
      <c r="I133" s="42">
        <v>13.376543209876543</v>
      </c>
      <c r="J133" s="42">
        <v>13.598765432098766</v>
      </c>
      <c r="K133" s="42">
        <v>13.820987654320989</v>
      </c>
      <c r="L133" s="53" t="s">
        <v>107</v>
      </c>
    </row>
    <row r="134" spans="1:12" x14ac:dyDescent="0.35">
      <c r="A134">
        <v>5800</v>
      </c>
      <c r="B134" s="55">
        <v>11.650000000000002</v>
      </c>
      <c r="C134" s="42">
        <v>11.900000000000002</v>
      </c>
      <c r="D134" s="42">
        <v>12.150000000000002</v>
      </c>
      <c r="E134" s="42">
        <v>12.400000000000002</v>
      </c>
      <c r="F134" s="42">
        <v>12.650000000000002</v>
      </c>
      <c r="G134" s="42">
        <v>12.900000000000006</v>
      </c>
      <c r="H134" s="42">
        <v>13.150000000000006</v>
      </c>
      <c r="I134" s="42">
        <v>13.376543209876543</v>
      </c>
      <c r="J134" s="42">
        <v>13.598765432098768</v>
      </c>
      <c r="K134" s="42">
        <v>13.820987654320986</v>
      </c>
      <c r="L134" s="53" t="s">
        <v>107</v>
      </c>
    </row>
    <row r="135" spans="1:12" x14ac:dyDescent="0.35">
      <c r="A135">
        <v>6000</v>
      </c>
      <c r="B135" s="55">
        <v>11.65</v>
      </c>
      <c r="C135" s="42">
        <v>11.9</v>
      </c>
      <c r="D135" s="42">
        <v>12.15</v>
      </c>
      <c r="E135" s="42">
        <v>12.400000000000002</v>
      </c>
      <c r="F135" s="42">
        <v>12.650000000000002</v>
      </c>
      <c r="G135" s="42">
        <v>12.900000000000002</v>
      </c>
      <c r="H135" s="42">
        <v>13.150000000000004</v>
      </c>
      <c r="I135" s="42">
        <v>13.376543209876539</v>
      </c>
      <c r="J135" s="42">
        <v>13.598765432098771</v>
      </c>
      <c r="K135" s="42">
        <v>13.820987654320987</v>
      </c>
      <c r="L135" s="53" t="s">
        <v>107</v>
      </c>
    </row>
    <row r="136" spans="1:12" x14ac:dyDescent="0.35">
      <c r="A136">
        <v>6200</v>
      </c>
      <c r="B136" s="55">
        <v>11.650000000000002</v>
      </c>
      <c r="C136" s="42">
        <v>11.900000000000002</v>
      </c>
      <c r="D136" s="42">
        <v>12.150000000000002</v>
      </c>
      <c r="E136" s="42">
        <v>12.400000000000002</v>
      </c>
      <c r="F136" s="42">
        <v>12.650000000000002</v>
      </c>
      <c r="G136" s="42">
        <v>12.900000000000004</v>
      </c>
      <c r="H136" s="42">
        <v>13.150000000000004</v>
      </c>
      <c r="I136" s="42">
        <v>13.376543209876544</v>
      </c>
      <c r="J136" s="42">
        <v>13.598765432098768</v>
      </c>
      <c r="K136" s="42">
        <v>13.820987654320987</v>
      </c>
      <c r="L136" s="53" t="s">
        <v>107</v>
      </c>
    </row>
    <row r="137" spans="1:12" x14ac:dyDescent="0.35">
      <c r="A137">
        <v>6400</v>
      </c>
      <c r="B137" s="55">
        <v>11.65</v>
      </c>
      <c r="C137" s="42">
        <v>11.900000000000002</v>
      </c>
      <c r="D137" s="42">
        <v>12.150000000000002</v>
      </c>
      <c r="E137" s="42">
        <v>12.400000000000002</v>
      </c>
      <c r="F137" s="42">
        <v>12.650000000000002</v>
      </c>
      <c r="G137" s="42">
        <v>12.900000000000002</v>
      </c>
      <c r="H137" s="42">
        <v>13.150000000000004</v>
      </c>
      <c r="I137" s="42">
        <v>13.376543209876541</v>
      </c>
      <c r="J137" s="42">
        <v>13.598765432098766</v>
      </c>
      <c r="K137" s="42">
        <v>13.820987654320987</v>
      </c>
      <c r="L137" s="53" t="s">
        <v>107</v>
      </c>
    </row>
    <row r="138" spans="1:12" x14ac:dyDescent="0.35">
      <c r="A138">
        <v>6600</v>
      </c>
      <c r="B138" s="55">
        <v>11.65</v>
      </c>
      <c r="C138" s="42">
        <v>11.900000000000002</v>
      </c>
      <c r="D138" s="42">
        <v>12.150000000000002</v>
      </c>
      <c r="E138" s="42">
        <v>12.400000000000002</v>
      </c>
      <c r="F138" s="42">
        <v>12.650000000000004</v>
      </c>
      <c r="G138" s="42">
        <v>12.900000000000004</v>
      </c>
      <c r="H138" s="42">
        <v>13.150000000000006</v>
      </c>
      <c r="I138" s="42">
        <v>13.376543209876546</v>
      </c>
      <c r="J138" s="42">
        <v>13.598765432098766</v>
      </c>
      <c r="K138" s="42">
        <v>13.820987654320987</v>
      </c>
      <c r="L138" s="53" t="s">
        <v>107</v>
      </c>
    </row>
    <row r="139" spans="1:12" x14ac:dyDescent="0.35">
      <c r="A139">
        <v>6800</v>
      </c>
      <c r="B139" s="55">
        <v>11.65</v>
      </c>
      <c r="C139" s="42">
        <v>11.9</v>
      </c>
      <c r="D139" s="42">
        <v>12.150000000000002</v>
      </c>
      <c r="E139" s="42">
        <v>12.400000000000002</v>
      </c>
      <c r="F139" s="42">
        <v>12.650000000000004</v>
      </c>
      <c r="G139" s="42">
        <v>12.900000000000004</v>
      </c>
      <c r="H139" s="42">
        <v>13.150000000000004</v>
      </c>
      <c r="I139" s="42">
        <v>13.376543209876544</v>
      </c>
      <c r="J139" s="42">
        <v>13.598765432098766</v>
      </c>
      <c r="K139" s="42">
        <v>13.820987654320986</v>
      </c>
      <c r="L139" s="53" t="s">
        <v>107</v>
      </c>
    </row>
    <row r="140" spans="1:12" x14ac:dyDescent="0.35">
      <c r="A140">
        <v>7000</v>
      </c>
      <c r="B140" s="67">
        <v>11.650000000000002</v>
      </c>
      <c r="C140" s="69">
        <v>11.900000000000002</v>
      </c>
      <c r="D140" s="69">
        <v>12.150000000000004</v>
      </c>
      <c r="E140" s="69">
        <v>12.400000000000004</v>
      </c>
      <c r="F140" s="69">
        <v>12.650000000000006</v>
      </c>
      <c r="G140" s="69">
        <v>12.900000000000006</v>
      </c>
      <c r="H140" s="69">
        <v>13.150000000000006</v>
      </c>
      <c r="I140" s="69">
        <v>13.376543209876543</v>
      </c>
      <c r="J140" s="69">
        <v>13.598765432098768</v>
      </c>
      <c r="K140" s="69">
        <v>13.820987654320989</v>
      </c>
      <c r="L140" s="54" t="s">
        <v>107</v>
      </c>
    </row>
  </sheetData>
  <dataValidations count="3">
    <dataValidation type="list" allowBlank="1" showInputMessage="1" showErrorMessage="1" sqref="N4 R4" xr:uid="{B6518C47-12FC-4E07-BF21-7B8F09D2E700}">
      <formula1>OutputAddresses</formula1>
    </dataValidation>
    <dataValidation type="list" allowBlank="1" showInputMessage="1" showErrorMessage="1" sqref="O4" xr:uid="{CC975B13-7107-4C68-B6D8-1891F8CE2DC4}">
      <formula1>InputValues1</formula1>
    </dataValidation>
    <dataValidation type="list" allowBlank="1" showInputMessage="1" showErrorMessage="1" sqref="S4" xr:uid="{A4DEE838-404C-4796-9A90-9B6B4F043AF8}">
      <formula1>InputValues2</formula1>
    </dataValidation>
  </dataValidations>
  <pageMargins left="0.7" right="0.7" top="0.75" bottom="0.75" header="0.3" footer="0.3"/>
  <drawing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B6EAE6-DA36-4102-97AD-604B1B06112C}">
  <dimension ref="A1:I24"/>
  <sheetViews>
    <sheetView workbookViewId="0">
      <selection activeCell="H3" sqref="H3"/>
    </sheetView>
  </sheetViews>
  <sheetFormatPr defaultRowHeight="14.5" x14ac:dyDescent="0.35"/>
  <cols>
    <col min="1" max="1" width="23.7265625" customWidth="1"/>
    <col min="2" max="2" width="16.453125" bestFit="1" customWidth="1"/>
    <col min="3" max="3" width="12.36328125" bestFit="1" customWidth="1"/>
    <col min="4" max="4" width="21.54296875" bestFit="1" customWidth="1"/>
    <col min="5" max="5" width="19.1796875" bestFit="1" customWidth="1"/>
    <col min="6" max="6" width="21.08984375" bestFit="1" customWidth="1"/>
    <col min="8" max="8" width="21.08984375" bestFit="1" customWidth="1"/>
  </cols>
  <sheetData>
    <row r="1" spans="1:9" x14ac:dyDescent="0.35">
      <c r="A1" s="1" t="s">
        <v>0</v>
      </c>
    </row>
    <row r="3" spans="1:9" x14ac:dyDescent="0.35">
      <c r="A3" s="3"/>
      <c r="B3" s="4" t="s">
        <v>4</v>
      </c>
      <c r="C3" s="4" t="s">
        <v>8</v>
      </c>
      <c r="D3" s="4" t="s">
        <v>11</v>
      </c>
      <c r="E3" s="4" t="s">
        <v>12</v>
      </c>
      <c r="F3" s="4" t="s">
        <v>13</v>
      </c>
    </row>
    <row r="4" spans="1:9" x14ac:dyDescent="0.35">
      <c r="A4" s="4" t="s">
        <v>1</v>
      </c>
      <c r="B4" s="3" t="s">
        <v>5</v>
      </c>
      <c r="C4" s="17">
        <v>2312</v>
      </c>
      <c r="D4" s="3">
        <v>0.99</v>
      </c>
      <c r="E4" s="3">
        <v>0.95</v>
      </c>
      <c r="F4" s="3">
        <v>15</v>
      </c>
    </row>
    <row r="5" spans="1:9" x14ac:dyDescent="0.35">
      <c r="A5" s="4" t="s">
        <v>2</v>
      </c>
      <c r="B5" s="3" t="s">
        <v>6</v>
      </c>
      <c r="C5" s="17">
        <v>2568</v>
      </c>
      <c r="D5" s="3">
        <v>0.9</v>
      </c>
      <c r="E5" s="3">
        <v>0.85</v>
      </c>
      <c r="F5" s="3">
        <v>12.3</v>
      </c>
    </row>
    <row r="6" spans="1:9" x14ac:dyDescent="0.35">
      <c r="A6" s="4" t="s">
        <v>3</v>
      </c>
      <c r="B6" s="3" t="s">
        <v>7</v>
      </c>
      <c r="C6" s="17">
        <v>0</v>
      </c>
      <c r="D6" s="3">
        <v>0.95</v>
      </c>
      <c r="E6" s="3">
        <v>0.9</v>
      </c>
      <c r="F6" s="3">
        <v>14.5</v>
      </c>
    </row>
    <row r="7" spans="1:9" x14ac:dyDescent="0.35">
      <c r="A7" s="4" t="s">
        <v>9</v>
      </c>
      <c r="B7" s="3" t="s">
        <v>10</v>
      </c>
      <c r="C7" s="17">
        <v>320</v>
      </c>
      <c r="D7" s="3">
        <v>0.9</v>
      </c>
      <c r="E7" s="3">
        <v>0.94</v>
      </c>
      <c r="F7" s="3">
        <v>13.9</v>
      </c>
    </row>
    <row r="8" spans="1:9" x14ac:dyDescent="0.35">
      <c r="A8" s="2"/>
      <c r="B8" s="4" t="s">
        <v>56</v>
      </c>
      <c r="C8" s="29">
        <f>SUM(C4:C7)</f>
        <v>5200</v>
      </c>
      <c r="D8" s="2"/>
      <c r="E8" s="2"/>
      <c r="F8" s="2"/>
    </row>
    <row r="9" spans="1:9" x14ac:dyDescent="0.35">
      <c r="B9" s="5"/>
      <c r="C9" s="6"/>
    </row>
    <row r="10" spans="1:9" x14ac:dyDescent="0.35">
      <c r="A10" s="11" t="s">
        <v>14</v>
      </c>
    </row>
    <row r="11" spans="1:9" x14ac:dyDescent="0.35">
      <c r="A11" s="5" t="s">
        <v>15</v>
      </c>
      <c r="B11" s="12">
        <f>SUMPRODUCT(C4:C7,F4:F7)</f>
        <v>70714.399999999994</v>
      </c>
    </row>
    <row r="14" spans="1:9" x14ac:dyDescent="0.35">
      <c r="A14" s="1" t="s">
        <v>16</v>
      </c>
      <c r="F14" s="1" t="s">
        <v>62</v>
      </c>
    </row>
    <row r="15" spans="1:9" x14ac:dyDescent="0.35">
      <c r="A15" s="13"/>
      <c r="B15" s="4" t="s">
        <v>17</v>
      </c>
      <c r="C15" s="3"/>
      <c r="D15" s="4" t="s">
        <v>18</v>
      </c>
      <c r="F15" s="13"/>
      <c r="G15" s="4" t="s">
        <v>17</v>
      </c>
      <c r="H15" s="3"/>
      <c r="I15" s="4" t="s">
        <v>18</v>
      </c>
    </row>
    <row r="16" spans="1:9" ht="26" customHeight="1" x14ac:dyDescent="0.35">
      <c r="A16" s="16" t="s">
        <v>57</v>
      </c>
      <c r="B16" s="32">
        <f>G16</f>
        <v>5200</v>
      </c>
      <c r="C16" s="3" t="s">
        <v>21</v>
      </c>
      <c r="D16" s="32">
        <v>4200</v>
      </c>
      <c r="F16" s="14" t="s">
        <v>57</v>
      </c>
      <c r="G16" s="15">
        <f>C8</f>
        <v>5200</v>
      </c>
      <c r="H16" s="3" t="s">
        <v>21</v>
      </c>
      <c r="I16" s="15">
        <v>4200</v>
      </c>
    </row>
    <row r="17" spans="1:9" x14ac:dyDescent="0.35">
      <c r="A17" s="3" t="s">
        <v>19</v>
      </c>
      <c r="B17" s="32">
        <f>G17</f>
        <v>5200</v>
      </c>
      <c r="C17" s="3" t="s">
        <v>22</v>
      </c>
      <c r="D17" s="32">
        <f>I17</f>
        <v>5200</v>
      </c>
      <c r="F17" s="13" t="s">
        <v>19</v>
      </c>
      <c r="G17" s="15">
        <f>C8</f>
        <v>5200</v>
      </c>
      <c r="H17" s="3" t="s">
        <v>22</v>
      </c>
      <c r="I17" s="15">
        <v>5200</v>
      </c>
    </row>
    <row r="18" spans="1:9" x14ac:dyDescent="0.35">
      <c r="A18" s="3" t="s">
        <v>20</v>
      </c>
      <c r="B18" s="30">
        <f>G18/C8</f>
        <v>0.94001538461538459</v>
      </c>
      <c r="C18" s="3" t="s">
        <v>21</v>
      </c>
      <c r="D18" s="31">
        <f>I18/C8</f>
        <v>0.94</v>
      </c>
      <c r="F18" s="13" t="s">
        <v>20</v>
      </c>
      <c r="G18" s="15">
        <f>SUMPRODUCT(C4:C7,D4:D7)</f>
        <v>4888.08</v>
      </c>
      <c r="H18" s="3" t="s">
        <v>21</v>
      </c>
      <c r="I18" s="15">
        <f>0.94*C8</f>
        <v>4888</v>
      </c>
    </row>
    <row r="19" spans="1:9" x14ac:dyDescent="0.35">
      <c r="A19" s="3" t="s">
        <v>23</v>
      </c>
      <c r="B19" s="30">
        <f>G19/C8</f>
        <v>0.9</v>
      </c>
      <c r="C19" s="3" t="s">
        <v>21</v>
      </c>
      <c r="D19" s="31">
        <f>I19/C8</f>
        <v>0.9</v>
      </c>
      <c r="F19" s="13" t="s">
        <v>23</v>
      </c>
      <c r="G19" s="15">
        <f>SUMPRODUCT(C4:C7,E4:E7)</f>
        <v>4680</v>
      </c>
      <c r="H19" s="3" t="s">
        <v>21</v>
      </c>
      <c r="I19" s="15">
        <f>0.9*C8</f>
        <v>4680</v>
      </c>
    </row>
    <row r="20" spans="1:9" x14ac:dyDescent="0.35">
      <c r="A20" s="3" t="s">
        <v>24</v>
      </c>
      <c r="B20" s="31">
        <f>G20/C8</f>
        <v>13.598923076923075</v>
      </c>
      <c r="C20" s="3" t="s">
        <v>25</v>
      </c>
      <c r="D20" s="32">
        <f>I20/C8</f>
        <v>14</v>
      </c>
      <c r="F20" s="13" t="s">
        <v>24</v>
      </c>
      <c r="G20" s="15">
        <f>SUMPRODUCT(C4:C7,F4:F7)</f>
        <v>70714.399999999994</v>
      </c>
      <c r="H20" s="3" t="s">
        <v>25</v>
      </c>
      <c r="I20" s="15">
        <f>14*C8</f>
        <v>72800</v>
      </c>
    </row>
    <row r="21" spans="1:9" x14ac:dyDescent="0.35">
      <c r="A21" s="3" t="s">
        <v>58</v>
      </c>
      <c r="B21" s="32">
        <f>G21</f>
        <v>2312</v>
      </c>
      <c r="C21" s="3" t="s">
        <v>25</v>
      </c>
      <c r="D21" s="32">
        <f>I21</f>
        <v>2600</v>
      </c>
      <c r="F21" s="13" t="s">
        <v>58</v>
      </c>
      <c r="G21" s="15">
        <f>C4</f>
        <v>2312</v>
      </c>
      <c r="H21" s="3" t="s">
        <v>25</v>
      </c>
      <c r="I21" s="15">
        <f>0.5*$C$8</f>
        <v>2600</v>
      </c>
    </row>
    <row r="22" spans="1:9" x14ac:dyDescent="0.35">
      <c r="A22" s="3" t="s">
        <v>59</v>
      </c>
      <c r="B22" s="32">
        <f>G22</f>
        <v>2568</v>
      </c>
      <c r="C22" s="3" t="s">
        <v>25</v>
      </c>
      <c r="D22" s="32">
        <f>I22</f>
        <v>2600</v>
      </c>
      <c r="F22" s="13" t="s">
        <v>59</v>
      </c>
      <c r="G22" s="15">
        <f>C5</f>
        <v>2568</v>
      </c>
      <c r="H22" s="3" t="s">
        <v>25</v>
      </c>
      <c r="I22" s="15">
        <f t="shared" ref="I22:I24" si="0">0.5*$C$8</f>
        <v>2600</v>
      </c>
    </row>
    <row r="23" spans="1:9" x14ac:dyDescent="0.35">
      <c r="A23" s="3" t="s">
        <v>60</v>
      </c>
      <c r="B23" s="32">
        <f>G23</f>
        <v>0</v>
      </c>
      <c r="C23" s="3" t="s">
        <v>25</v>
      </c>
      <c r="D23" s="32">
        <f>I23</f>
        <v>2600</v>
      </c>
      <c r="F23" s="13" t="s">
        <v>60</v>
      </c>
      <c r="G23" s="15">
        <f>C6</f>
        <v>0</v>
      </c>
      <c r="H23" s="3" t="s">
        <v>25</v>
      </c>
      <c r="I23" s="15">
        <f t="shared" si="0"/>
        <v>2600</v>
      </c>
    </row>
    <row r="24" spans="1:9" x14ac:dyDescent="0.35">
      <c r="A24" s="3" t="s">
        <v>61</v>
      </c>
      <c r="B24" s="32">
        <f>G24</f>
        <v>320</v>
      </c>
      <c r="C24" s="3" t="s">
        <v>25</v>
      </c>
      <c r="D24" s="32">
        <f>I24</f>
        <v>2600</v>
      </c>
      <c r="F24" s="13" t="s">
        <v>61</v>
      </c>
      <c r="G24" s="15">
        <f>C7</f>
        <v>320</v>
      </c>
      <c r="H24" s="3" t="s">
        <v>25</v>
      </c>
      <c r="I24" s="15">
        <f t="shared" si="0"/>
        <v>2600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9CE0B9-0435-4FAF-AB47-75E94FEFFF21}">
  <dimension ref="A1:K25"/>
  <sheetViews>
    <sheetView workbookViewId="0"/>
  </sheetViews>
  <sheetFormatPr defaultRowHeight="14.5" x14ac:dyDescent="0.35"/>
  <cols>
    <col min="6" max="6" width="11.1796875" bestFit="1" customWidth="1"/>
  </cols>
  <sheetData>
    <row r="1" spans="1:11" x14ac:dyDescent="0.35">
      <c r="A1" s="6" t="s">
        <v>119</v>
      </c>
      <c r="K1" s="21" t="str">
        <f>CONCATENATE("Sensitivity of ",$K$4," to ","ORDER QUANTITY")</f>
        <v>Sensitivity of $B$21 to ORDER QUANTITY</v>
      </c>
    </row>
    <row r="3" spans="1:11" x14ac:dyDescent="0.35">
      <c r="A3" t="s">
        <v>120</v>
      </c>
      <c r="K3" t="s">
        <v>83</v>
      </c>
    </row>
    <row r="4" spans="1:11" ht="32.5" x14ac:dyDescent="0.35">
      <c r="B4" s="19" t="s">
        <v>86</v>
      </c>
      <c r="C4" s="19" t="s">
        <v>87</v>
      </c>
      <c r="D4" s="19" t="s">
        <v>88</v>
      </c>
      <c r="E4" s="19" t="s">
        <v>89</v>
      </c>
      <c r="F4" s="19" t="s">
        <v>82</v>
      </c>
      <c r="J4" s="21">
        <f>MATCH($K$4,OutputAddresses,0)</f>
        <v>1</v>
      </c>
      <c r="K4" s="20" t="s">
        <v>86</v>
      </c>
    </row>
    <row r="5" spans="1:11" x14ac:dyDescent="0.35">
      <c r="A5">
        <v>3000</v>
      </c>
      <c r="B5" s="58">
        <v>1333</v>
      </c>
      <c r="C5" s="35">
        <v>1481</v>
      </c>
      <c r="D5" s="35">
        <v>1</v>
      </c>
      <c r="E5" s="35">
        <v>185</v>
      </c>
      <c r="F5" s="59">
        <v>40797.300000000003</v>
      </c>
      <c r="K5">
        <f>INDEX(OutputValues,1,$J$4)</f>
        <v>1333</v>
      </c>
    </row>
    <row r="6" spans="1:11" x14ac:dyDescent="0.35">
      <c r="A6">
        <v>3200</v>
      </c>
      <c r="B6" s="57">
        <v>1422</v>
      </c>
      <c r="C6" s="37">
        <v>1579</v>
      </c>
      <c r="D6" s="37">
        <v>2</v>
      </c>
      <c r="E6" s="37">
        <v>197</v>
      </c>
      <c r="F6" s="56">
        <v>43519</v>
      </c>
      <c r="K6">
        <f>INDEX(OutputValues,2,$J$4)</f>
        <v>1422</v>
      </c>
    </row>
    <row r="7" spans="1:11" x14ac:dyDescent="0.35">
      <c r="A7">
        <v>3400</v>
      </c>
      <c r="B7" s="57">
        <v>1510</v>
      </c>
      <c r="C7" s="37">
        <v>1678</v>
      </c>
      <c r="D7" s="37">
        <v>2</v>
      </c>
      <c r="E7" s="37">
        <v>210</v>
      </c>
      <c r="F7" s="56">
        <v>46237.4</v>
      </c>
      <c r="K7">
        <f>INDEX(OutputValues,3,$J$4)</f>
        <v>1510</v>
      </c>
    </row>
    <row r="8" spans="1:11" x14ac:dyDescent="0.35">
      <c r="A8">
        <v>3600</v>
      </c>
      <c r="B8" s="57">
        <v>1602</v>
      </c>
      <c r="C8" s="37">
        <v>1778</v>
      </c>
      <c r="D8" s="37">
        <v>0</v>
      </c>
      <c r="E8" s="37">
        <v>220</v>
      </c>
      <c r="F8" s="56">
        <v>48957.4</v>
      </c>
      <c r="K8">
        <f>INDEX(OutputValues,4,$J$4)</f>
        <v>1602</v>
      </c>
    </row>
    <row r="9" spans="1:11" x14ac:dyDescent="0.35">
      <c r="A9">
        <v>3800</v>
      </c>
      <c r="B9" s="57">
        <v>1689</v>
      </c>
      <c r="C9" s="37">
        <v>1876</v>
      </c>
      <c r="D9" s="37">
        <v>0</v>
      </c>
      <c r="E9" s="37">
        <v>235</v>
      </c>
      <c r="F9" s="56">
        <v>51676.3</v>
      </c>
      <c r="K9">
        <f>INDEX(OutputValues,5,$J$4)</f>
        <v>1689</v>
      </c>
    </row>
    <row r="10" spans="1:11" x14ac:dyDescent="0.35">
      <c r="A10">
        <v>4000</v>
      </c>
      <c r="B10" s="57">
        <v>1778</v>
      </c>
      <c r="C10" s="37">
        <v>1975</v>
      </c>
      <c r="D10" s="37">
        <v>0</v>
      </c>
      <c r="E10" s="37">
        <v>247</v>
      </c>
      <c r="F10" s="56">
        <v>54395.8</v>
      </c>
      <c r="K10">
        <f>INDEX(OutputValues,6,$J$4)</f>
        <v>1778</v>
      </c>
    </row>
    <row r="11" spans="1:11" x14ac:dyDescent="0.35">
      <c r="A11">
        <v>4200</v>
      </c>
      <c r="B11" s="57">
        <v>1867</v>
      </c>
      <c r="C11" s="37">
        <v>2074</v>
      </c>
      <c r="D11" s="37">
        <v>0</v>
      </c>
      <c r="E11" s="37">
        <v>259</v>
      </c>
      <c r="F11" s="56">
        <v>57115.3</v>
      </c>
      <c r="K11">
        <f>INDEX(OutputValues,7,$J$4)</f>
        <v>1867</v>
      </c>
    </row>
    <row r="12" spans="1:11" x14ac:dyDescent="0.35">
      <c r="A12">
        <v>4400</v>
      </c>
      <c r="B12" s="57">
        <v>1957</v>
      </c>
      <c r="C12" s="37">
        <v>2173</v>
      </c>
      <c r="D12" s="37">
        <v>0</v>
      </c>
      <c r="E12" s="37">
        <v>270</v>
      </c>
      <c r="F12" s="56">
        <v>59835.9</v>
      </c>
      <c r="K12">
        <f>INDEX(OutputValues,8,$J$4)</f>
        <v>1957</v>
      </c>
    </row>
    <row r="13" spans="1:11" x14ac:dyDescent="0.35">
      <c r="A13">
        <v>4600</v>
      </c>
      <c r="B13" s="57">
        <v>2045</v>
      </c>
      <c r="C13" s="37">
        <v>2271</v>
      </c>
      <c r="D13" s="37">
        <v>0</v>
      </c>
      <c r="E13" s="37">
        <v>284</v>
      </c>
      <c r="F13" s="56">
        <v>62555.9</v>
      </c>
      <c r="K13">
        <f>INDEX(OutputValues,9,$J$4)</f>
        <v>2045</v>
      </c>
    </row>
    <row r="14" spans="1:11" x14ac:dyDescent="0.35">
      <c r="A14">
        <v>4800</v>
      </c>
      <c r="B14" s="57">
        <v>2133</v>
      </c>
      <c r="C14" s="37">
        <v>2369</v>
      </c>
      <c r="D14" s="37">
        <v>2</v>
      </c>
      <c r="E14" s="37">
        <v>296</v>
      </c>
      <c r="F14" s="56">
        <v>65277.1</v>
      </c>
      <c r="K14">
        <f>INDEX(OutputValues,10,$J$4)</f>
        <v>2133</v>
      </c>
    </row>
    <row r="15" spans="1:11" x14ac:dyDescent="0.35">
      <c r="A15">
        <v>5000</v>
      </c>
      <c r="B15" s="57">
        <v>2222</v>
      </c>
      <c r="C15" s="37">
        <v>2468</v>
      </c>
      <c r="D15" s="37">
        <v>2</v>
      </c>
      <c r="E15" s="37">
        <v>308</v>
      </c>
      <c r="F15" s="56">
        <v>67996.600000000006</v>
      </c>
      <c r="K15">
        <f>INDEX(OutputValues,11,$J$4)</f>
        <v>2222</v>
      </c>
    </row>
    <row r="16" spans="1:11" x14ac:dyDescent="0.35">
      <c r="A16">
        <v>5200</v>
      </c>
      <c r="B16" s="57">
        <v>2312</v>
      </c>
      <c r="C16" s="37">
        <v>2568</v>
      </c>
      <c r="D16" s="37">
        <v>0</v>
      </c>
      <c r="E16" s="37">
        <v>320</v>
      </c>
      <c r="F16" s="56">
        <v>70714.399999999994</v>
      </c>
      <c r="K16">
        <f>INDEX(OutputValues,12,$J$4)</f>
        <v>2312</v>
      </c>
    </row>
    <row r="17" spans="1:11" x14ac:dyDescent="0.35">
      <c r="A17">
        <v>5400</v>
      </c>
      <c r="B17" s="57">
        <v>2403</v>
      </c>
      <c r="C17" s="37">
        <v>2667</v>
      </c>
      <c r="D17" s="37">
        <v>0</v>
      </c>
      <c r="E17" s="37">
        <v>330</v>
      </c>
      <c r="F17" s="56">
        <v>73436.100000000006</v>
      </c>
      <c r="K17">
        <f>INDEX(OutputValues,13,$J$4)</f>
        <v>2403</v>
      </c>
    </row>
    <row r="18" spans="1:11" x14ac:dyDescent="0.35">
      <c r="A18">
        <v>5600</v>
      </c>
      <c r="B18" s="57">
        <v>2489</v>
      </c>
      <c r="C18" s="37">
        <v>2765</v>
      </c>
      <c r="D18" s="37">
        <v>0</v>
      </c>
      <c r="E18" s="37">
        <v>346</v>
      </c>
      <c r="F18" s="56">
        <v>76153.899999999994</v>
      </c>
      <c r="K18">
        <f>INDEX(OutputValues,14,$J$4)</f>
        <v>2489</v>
      </c>
    </row>
    <row r="19" spans="1:11" x14ac:dyDescent="0.35">
      <c r="A19">
        <v>5800</v>
      </c>
      <c r="B19" s="57">
        <v>2578</v>
      </c>
      <c r="C19" s="37">
        <v>2864</v>
      </c>
      <c r="D19" s="37">
        <v>0</v>
      </c>
      <c r="E19" s="37">
        <v>358</v>
      </c>
      <c r="F19" s="56">
        <v>78873.399999999994</v>
      </c>
      <c r="K19">
        <f>INDEX(OutputValues,15,$J$4)</f>
        <v>2578</v>
      </c>
    </row>
    <row r="20" spans="1:11" x14ac:dyDescent="0.35">
      <c r="A20">
        <v>6000</v>
      </c>
      <c r="B20" s="57">
        <v>2667</v>
      </c>
      <c r="C20" s="37">
        <v>2963</v>
      </c>
      <c r="D20" s="37">
        <v>0</v>
      </c>
      <c r="E20" s="37">
        <v>370</v>
      </c>
      <c r="F20" s="56">
        <v>81592.899999999994</v>
      </c>
      <c r="K20">
        <f>INDEX(OutputValues,16,$J$4)</f>
        <v>2667</v>
      </c>
    </row>
    <row r="21" spans="1:11" x14ac:dyDescent="0.35">
      <c r="A21">
        <v>6200</v>
      </c>
      <c r="B21" s="57">
        <v>2756</v>
      </c>
      <c r="C21" s="37">
        <v>3061</v>
      </c>
      <c r="D21" s="37">
        <v>0</v>
      </c>
      <c r="E21" s="37">
        <v>383</v>
      </c>
      <c r="F21" s="56">
        <v>84314</v>
      </c>
      <c r="K21">
        <f>INDEX(OutputValues,17,$J$4)</f>
        <v>2756</v>
      </c>
    </row>
    <row r="22" spans="1:11" x14ac:dyDescent="0.35">
      <c r="A22">
        <v>6400</v>
      </c>
      <c r="B22" s="57">
        <v>2845</v>
      </c>
      <c r="C22" s="37">
        <v>3160</v>
      </c>
      <c r="D22" s="37">
        <v>0</v>
      </c>
      <c r="E22" s="37">
        <v>395</v>
      </c>
      <c r="F22" s="56">
        <v>87033.5</v>
      </c>
      <c r="K22">
        <f>INDEX(OutputValues,18,$J$4)</f>
        <v>2845</v>
      </c>
    </row>
    <row r="23" spans="1:11" x14ac:dyDescent="0.35">
      <c r="A23">
        <v>6600</v>
      </c>
      <c r="B23" s="57">
        <v>2933</v>
      </c>
      <c r="C23" s="37">
        <v>3258</v>
      </c>
      <c r="D23" s="37">
        <v>2</v>
      </c>
      <c r="E23" s="37">
        <v>407</v>
      </c>
      <c r="F23" s="56">
        <v>89754.7</v>
      </c>
      <c r="K23">
        <f>INDEX(OutputValues,19,$J$4)</f>
        <v>2933</v>
      </c>
    </row>
    <row r="24" spans="1:11" x14ac:dyDescent="0.35">
      <c r="A24">
        <v>6800</v>
      </c>
      <c r="B24" s="57">
        <v>3022</v>
      </c>
      <c r="C24" s="37">
        <v>3357</v>
      </c>
      <c r="D24" s="37">
        <v>2</v>
      </c>
      <c r="E24" s="37">
        <v>419</v>
      </c>
      <c r="F24" s="56">
        <v>92474.2</v>
      </c>
      <c r="K24">
        <f>INDEX(OutputValues,20,$J$4)</f>
        <v>3022</v>
      </c>
    </row>
    <row r="25" spans="1:11" x14ac:dyDescent="0.35">
      <c r="A25">
        <v>7000</v>
      </c>
      <c r="B25" s="60">
        <v>3111</v>
      </c>
      <c r="C25" s="39">
        <v>3456</v>
      </c>
      <c r="D25" s="39">
        <v>1</v>
      </c>
      <c r="E25" s="39">
        <v>432</v>
      </c>
      <c r="F25" s="61">
        <v>95193.1</v>
      </c>
      <c r="K25">
        <f>INDEX(OutputValues,21,$J$4)</f>
        <v>3111</v>
      </c>
    </row>
  </sheetData>
  <dataValidations count="1">
    <dataValidation type="list" allowBlank="1" showInputMessage="1" showErrorMessage="1" sqref="K4" xr:uid="{83A25750-C498-4D5F-9CF1-866FD9483829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E552A2-15B2-4444-9218-D74D09B31969}">
  <dimension ref="A1:AZ117"/>
  <sheetViews>
    <sheetView workbookViewId="0"/>
  </sheetViews>
  <sheetFormatPr defaultRowHeight="14.5" x14ac:dyDescent="0.35"/>
  <cols>
    <col min="1" max="1" width="6.08984375" bestFit="1" customWidth="1"/>
    <col min="2" max="17" width="11.1796875" bestFit="1" customWidth="1"/>
  </cols>
  <sheetData>
    <row r="1" spans="1:52" x14ac:dyDescent="0.35">
      <c r="A1" s="6" t="s">
        <v>124</v>
      </c>
      <c r="S1" s="21" t="str">
        <f>CONCATENATE("Sensitivity of ",$S$4," to ","Input2")</f>
        <v>Sensitivity of $G$21 to Input2</v>
      </c>
      <c r="W1" s="21" t="str">
        <f>CONCATENATE("Sensitivity of ",$W$4," to ","Input1")</f>
        <v>Sensitivity of $G$21 to Input1</v>
      </c>
    </row>
    <row r="2" spans="1:52" x14ac:dyDescent="0.35">
      <c r="S2" t="s">
        <v>126</v>
      </c>
      <c r="W2" t="s">
        <v>128</v>
      </c>
      <c r="AZ2" t="s">
        <v>69</v>
      </c>
    </row>
    <row r="3" spans="1:52" x14ac:dyDescent="0.35">
      <c r="A3" t="s">
        <v>125</v>
      </c>
      <c r="S3" t="s">
        <v>103</v>
      </c>
      <c r="T3" t="s">
        <v>127</v>
      </c>
      <c r="W3" t="s">
        <v>103</v>
      </c>
      <c r="X3" t="s">
        <v>129</v>
      </c>
      <c r="AZ3" t="s">
        <v>71</v>
      </c>
    </row>
    <row r="4" spans="1:52" ht="33.5" x14ac:dyDescent="0.35">
      <c r="A4" s="43" t="s">
        <v>69</v>
      </c>
      <c r="B4" s="37">
        <v>0</v>
      </c>
      <c r="C4" s="37">
        <v>200</v>
      </c>
      <c r="D4" s="37">
        <v>400</v>
      </c>
      <c r="E4" s="37">
        <v>600</v>
      </c>
      <c r="F4" s="37">
        <v>800</v>
      </c>
      <c r="G4" s="37">
        <v>1000</v>
      </c>
      <c r="H4" s="37">
        <v>1200</v>
      </c>
      <c r="I4" s="37">
        <v>1400</v>
      </c>
      <c r="J4" s="37">
        <v>1600</v>
      </c>
      <c r="K4" s="37">
        <v>1800</v>
      </c>
      <c r="L4" s="37">
        <v>2000</v>
      </c>
      <c r="M4" s="37">
        <v>2200</v>
      </c>
      <c r="N4" s="37">
        <v>2400</v>
      </c>
      <c r="O4" s="37">
        <v>2600</v>
      </c>
      <c r="P4" s="37">
        <v>2800</v>
      </c>
      <c r="Q4" s="37">
        <v>3000</v>
      </c>
      <c r="R4" s="21">
        <f>MATCH($S$4,OutputAddresses,0)</f>
        <v>1</v>
      </c>
      <c r="S4" s="20" t="s">
        <v>69</v>
      </c>
      <c r="T4" s="44">
        <v>3000</v>
      </c>
      <c r="U4" s="21">
        <f>MATCH($T$4,InputValues1,0)</f>
        <v>1</v>
      </c>
      <c r="V4" s="21">
        <f>MATCH($W$4,OutputAddresses,0)</f>
        <v>1</v>
      </c>
      <c r="W4" s="20" t="s">
        <v>69</v>
      </c>
      <c r="X4" s="44">
        <v>0</v>
      </c>
      <c r="Y4" s="21">
        <f>MATCH($X$4,InputValues2,0)</f>
        <v>1</v>
      </c>
      <c r="AZ4" t="s">
        <v>73</v>
      </c>
    </row>
    <row r="5" spans="1:52" x14ac:dyDescent="0.35">
      <c r="A5">
        <v>3000</v>
      </c>
      <c r="B5" s="62">
        <v>1333</v>
      </c>
      <c r="C5" s="33">
        <v>1333</v>
      </c>
      <c r="D5" s="33">
        <v>1333</v>
      </c>
      <c r="E5" s="33">
        <v>1333</v>
      </c>
      <c r="F5" s="33">
        <v>1333</v>
      </c>
      <c r="G5" s="33">
        <v>1333</v>
      </c>
      <c r="H5" s="33">
        <v>1333</v>
      </c>
      <c r="I5" s="33">
        <v>1333</v>
      </c>
      <c r="J5" s="33">
        <v>1333</v>
      </c>
      <c r="K5" s="33">
        <v>1333</v>
      </c>
      <c r="L5" s="33">
        <v>1333</v>
      </c>
      <c r="M5" s="33">
        <v>1333</v>
      </c>
      <c r="N5" s="33">
        <v>1333</v>
      </c>
      <c r="O5" s="33">
        <v>1333</v>
      </c>
      <c r="P5" s="33">
        <v>1333</v>
      </c>
      <c r="Q5" s="23">
        <v>1333</v>
      </c>
      <c r="R5" s="21" t="str">
        <f>"OutputValues_"&amp;$R$4</f>
        <v>OutputValues_1</v>
      </c>
      <c r="S5">
        <f ca="1">INDEX(INDIRECT($R$5),$U$4,1)</f>
        <v>1333</v>
      </c>
      <c r="V5" s="21" t="str">
        <f>"OutputValues_"&amp;$V$4</f>
        <v>OutputValues_1</v>
      </c>
      <c r="W5">
        <f ca="1">INDEX(INDIRECT($V$5),1,$Y$4)</f>
        <v>1333</v>
      </c>
      <c r="AZ5" t="s">
        <v>75</v>
      </c>
    </row>
    <row r="6" spans="1:52" x14ac:dyDescent="0.35">
      <c r="A6">
        <v>3200</v>
      </c>
      <c r="B6" s="47">
        <v>1422</v>
      </c>
      <c r="C6">
        <v>1422</v>
      </c>
      <c r="D6">
        <v>1422</v>
      </c>
      <c r="E6">
        <v>1422</v>
      </c>
      <c r="F6">
        <v>1422</v>
      </c>
      <c r="G6">
        <v>1422</v>
      </c>
      <c r="H6">
        <v>1422</v>
      </c>
      <c r="I6">
        <v>1422</v>
      </c>
      <c r="J6">
        <v>1422</v>
      </c>
      <c r="K6">
        <v>1422</v>
      </c>
      <c r="L6">
        <v>1422</v>
      </c>
      <c r="M6">
        <v>1422</v>
      </c>
      <c r="N6">
        <v>1422</v>
      </c>
      <c r="O6">
        <v>1422</v>
      </c>
      <c r="P6">
        <v>1422</v>
      </c>
      <c r="Q6" s="25">
        <v>1422</v>
      </c>
      <c r="S6">
        <f ca="1">INDEX(INDIRECT($R$5),$U$4,2)</f>
        <v>1333</v>
      </c>
      <c r="W6">
        <f ca="1">INDEX(INDIRECT($V$5),2,$Y$4)</f>
        <v>1422</v>
      </c>
      <c r="AZ6" t="s">
        <v>82</v>
      </c>
    </row>
    <row r="7" spans="1:52" x14ac:dyDescent="0.35">
      <c r="A7">
        <v>3400</v>
      </c>
      <c r="B7" s="47">
        <v>1510</v>
      </c>
      <c r="C7">
        <v>1510</v>
      </c>
      <c r="D7">
        <v>1510</v>
      </c>
      <c r="E7">
        <v>1510</v>
      </c>
      <c r="F7">
        <v>1510</v>
      </c>
      <c r="G7">
        <v>1510</v>
      </c>
      <c r="H7">
        <v>1510</v>
      </c>
      <c r="I7">
        <v>1510</v>
      </c>
      <c r="J7">
        <v>1510</v>
      </c>
      <c r="K7">
        <v>1510</v>
      </c>
      <c r="L7">
        <v>1510</v>
      </c>
      <c r="M7">
        <v>1510</v>
      </c>
      <c r="N7">
        <v>1510</v>
      </c>
      <c r="O7">
        <v>1510</v>
      </c>
      <c r="P7">
        <v>1510</v>
      </c>
      <c r="Q7" s="25">
        <v>1510</v>
      </c>
      <c r="S7">
        <f ca="1">INDEX(INDIRECT($R$5),$U$4,3)</f>
        <v>1333</v>
      </c>
      <c r="W7">
        <f ca="1">INDEX(INDIRECT($V$5),3,$Y$4)</f>
        <v>1510</v>
      </c>
    </row>
    <row r="8" spans="1:52" x14ac:dyDescent="0.35">
      <c r="A8">
        <v>3600</v>
      </c>
      <c r="B8" s="47">
        <v>1602</v>
      </c>
      <c r="C8">
        <v>1602</v>
      </c>
      <c r="D8">
        <v>1602</v>
      </c>
      <c r="E8">
        <v>1602</v>
      </c>
      <c r="F8">
        <v>1602</v>
      </c>
      <c r="G8">
        <v>1602</v>
      </c>
      <c r="H8">
        <v>1602</v>
      </c>
      <c r="I8">
        <v>1602</v>
      </c>
      <c r="J8">
        <v>1602</v>
      </c>
      <c r="K8">
        <v>1602</v>
      </c>
      <c r="L8">
        <v>1602</v>
      </c>
      <c r="M8">
        <v>1602</v>
      </c>
      <c r="N8">
        <v>1602</v>
      </c>
      <c r="O8">
        <v>1602</v>
      </c>
      <c r="P8">
        <v>1602</v>
      </c>
      <c r="Q8" s="25">
        <v>1602</v>
      </c>
      <c r="S8">
        <f ca="1">INDEX(INDIRECT($R$5),$U$4,4)</f>
        <v>1333</v>
      </c>
      <c r="W8">
        <f ca="1">INDEX(INDIRECT($V$5),4,$Y$4)</f>
        <v>1602</v>
      </c>
    </row>
    <row r="9" spans="1:52" x14ac:dyDescent="0.35">
      <c r="A9">
        <v>3800</v>
      </c>
      <c r="B9" s="47">
        <v>1689</v>
      </c>
      <c r="C9">
        <v>1689</v>
      </c>
      <c r="D9">
        <v>1689</v>
      </c>
      <c r="E9">
        <v>1689</v>
      </c>
      <c r="F9">
        <v>1689</v>
      </c>
      <c r="G9">
        <v>1689</v>
      </c>
      <c r="H9">
        <v>1689</v>
      </c>
      <c r="I9">
        <v>1689</v>
      </c>
      <c r="J9">
        <v>1689</v>
      </c>
      <c r="K9">
        <v>1689</v>
      </c>
      <c r="L9">
        <v>1689</v>
      </c>
      <c r="M9">
        <v>1689</v>
      </c>
      <c r="N9">
        <v>1689</v>
      </c>
      <c r="O9">
        <v>1689</v>
      </c>
      <c r="P9">
        <v>1689</v>
      </c>
      <c r="Q9" s="25">
        <v>1689</v>
      </c>
      <c r="S9">
        <f ca="1">INDEX(INDIRECT($R$5),$U$4,5)</f>
        <v>1333</v>
      </c>
      <c r="W9">
        <f ca="1">INDEX(INDIRECT($V$5),5,$Y$4)</f>
        <v>1689</v>
      </c>
    </row>
    <row r="10" spans="1:52" x14ac:dyDescent="0.35">
      <c r="A10">
        <v>4000</v>
      </c>
      <c r="B10" s="47">
        <v>1778</v>
      </c>
      <c r="C10">
        <v>1778</v>
      </c>
      <c r="D10">
        <v>1778</v>
      </c>
      <c r="E10">
        <v>1778</v>
      </c>
      <c r="F10">
        <v>1778</v>
      </c>
      <c r="G10">
        <v>1778</v>
      </c>
      <c r="H10">
        <v>1778</v>
      </c>
      <c r="I10">
        <v>1778</v>
      </c>
      <c r="J10">
        <v>1778</v>
      </c>
      <c r="K10">
        <v>1778</v>
      </c>
      <c r="L10">
        <v>1778</v>
      </c>
      <c r="M10">
        <v>1778</v>
      </c>
      <c r="N10">
        <v>1778</v>
      </c>
      <c r="O10">
        <v>1778</v>
      </c>
      <c r="P10">
        <v>1778</v>
      </c>
      <c r="Q10" s="25">
        <v>1778</v>
      </c>
      <c r="S10">
        <f ca="1">INDEX(INDIRECT($R$5),$U$4,6)</f>
        <v>1333</v>
      </c>
      <c r="W10">
        <f ca="1">INDEX(INDIRECT($V$5),6,$Y$4)</f>
        <v>1778</v>
      </c>
    </row>
    <row r="11" spans="1:52" x14ac:dyDescent="0.35">
      <c r="A11">
        <v>4200</v>
      </c>
      <c r="B11" s="47">
        <v>1867</v>
      </c>
      <c r="C11">
        <v>1867</v>
      </c>
      <c r="D11">
        <v>1867</v>
      </c>
      <c r="E11">
        <v>1867</v>
      </c>
      <c r="F11">
        <v>1867</v>
      </c>
      <c r="G11">
        <v>1867</v>
      </c>
      <c r="H11">
        <v>1867</v>
      </c>
      <c r="I11">
        <v>1867</v>
      </c>
      <c r="J11">
        <v>1867</v>
      </c>
      <c r="K11">
        <v>1867</v>
      </c>
      <c r="L11">
        <v>1867</v>
      </c>
      <c r="M11">
        <v>1867</v>
      </c>
      <c r="N11">
        <v>1867</v>
      </c>
      <c r="O11">
        <v>1867</v>
      </c>
      <c r="P11">
        <v>1867</v>
      </c>
      <c r="Q11" s="25">
        <v>1867</v>
      </c>
      <c r="S11">
        <f ca="1">INDEX(INDIRECT($R$5),$U$4,7)</f>
        <v>1333</v>
      </c>
      <c r="W11">
        <f ca="1">INDEX(INDIRECT($V$5),7,$Y$4)</f>
        <v>1867</v>
      </c>
    </row>
    <row r="12" spans="1:52" x14ac:dyDescent="0.35">
      <c r="A12">
        <v>4400</v>
      </c>
      <c r="B12" s="47">
        <v>1957</v>
      </c>
      <c r="C12">
        <v>1957</v>
      </c>
      <c r="D12">
        <v>1957</v>
      </c>
      <c r="E12">
        <v>1957</v>
      </c>
      <c r="F12">
        <v>1957</v>
      </c>
      <c r="G12">
        <v>1957</v>
      </c>
      <c r="H12">
        <v>1957</v>
      </c>
      <c r="I12">
        <v>1957</v>
      </c>
      <c r="J12">
        <v>1957</v>
      </c>
      <c r="K12">
        <v>1957</v>
      </c>
      <c r="L12">
        <v>1957</v>
      </c>
      <c r="M12">
        <v>1957</v>
      </c>
      <c r="N12">
        <v>1957</v>
      </c>
      <c r="O12">
        <v>1957</v>
      </c>
      <c r="P12">
        <v>1957</v>
      </c>
      <c r="Q12" s="25">
        <v>1957</v>
      </c>
      <c r="S12">
        <f ca="1">INDEX(INDIRECT($R$5),$U$4,8)</f>
        <v>1333</v>
      </c>
      <c r="W12">
        <f ca="1">INDEX(INDIRECT($V$5),8,$Y$4)</f>
        <v>1957</v>
      </c>
    </row>
    <row r="13" spans="1:52" x14ac:dyDescent="0.35">
      <c r="A13">
        <v>4600</v>
      </c>
      <c r="B13" s="47">
        <v>2045</v>
      </c>
      <c r="C13">
        <v>2045</v>
      </c>
      <c r="D13">
        <v>2045</v>
      </c>
      <c r="E13">
        <v>2045</v>
      </c>
      <c r="F13">
        <v>2045</v>
      </c>
      <c r="G13">
        <v>2045</v>
      </c>
      <c r="H13">
        <v>2045</v>
      </c>
      <c r="I13">
        <v>2045</v>
      </c>
      <c r="J13">
        <v>2045</v>
      </c>
      <c r="K13">
        <v>2045</v>
      </c>
      <c r="L13">
        <v>2045</v>
      </c>
      <c r="M13">
        <v>2045</v>
      </c>
      <c r="N13">
        <v>2045</v>
      </c>
      <c r="O13">
        <v>2045</v>
      </c>
      <c r="P13">
        <v>2045</v>
      </c>
      <c r="Q13" s="25">
        <v>2045</v>
      </c>
      <c r="S13">
        <f ca="1">INDEX(INDIRECT($R$5),$U$4,9)</f>
        <v>1333</v>
      </c>
      <c r="W13">
        <f ca="1">INDEX(INDIRECT($V$5),9,$Y$4)</f>
        <v>2045</v>
      </c>
    </row>
    <row r="14" spans="1:52" x14ac:dyDescent="0.35">
      <c r="A14">
        <v>4800</v>
      </c>
      <c r="B14" s="47">
        <v>2133</v>
      </c>
      <c r="C14">
        <v>2133</v>
      </c>
      <c r="D14">
        <v>2133</v>
      </c>
      <c r="E14">
        <v>2133</v>
      </c>
      <c r="F14">
        <v>2133</v>
      </c>
      <c r="G14">
        <v>2133</v>
      </c>
      <c r="H14">
        <v>2133</v>
      </c>
      <c r="I14">
        <v>2133</v>
      </c>
      <c r="J14">
        <v>2133</v>
      </c>
      <c r="K14">
        <v>2133</v>
      </c>
      <c r="L14">
        <v>2133</v>
      </c>
      <c r="M14">
        <v>2133</v>
      </c>
      <c r="N14">
        <v>2133</v>
      </c>
      <c r="O14">
        <v>2133</v>
      </c>
      <c r="P14">
        <v>2133</v>
      </c>
      <c r="Q14" s="25">
        <v>2133</v>
      </c>
      <c r="S14">
        <f ca="1">INDEX(INDIRECT($R$5),$U$4,10)</f>
        <v>1333</v>
      </c>
      <c r="W14">
        <f ca="1">INDEX(INDIRECT($V$5),10,$Y$4)</f>
        <v>2133</v>
      </c>
    </row>
    <row r="15" spans="1:52" x14ac:dyDescent="0.35">
      <c r="A15">
        <v>5000</v>
      </c>
      <c r="B15" s="47">
        <v>2222</v>
      </c>
      <c r="C15">
        <v>2222</v>
      </c>
      <c r="D15">
        <v>2222</v>
      </c>
      <c r="E15">
        <v>2222</v>
      </c>
      <c r="F15">
        <v>2222</v>
      </c>
      <c r="G15">
        <v>2222</v>
      </c>
      <c r="H15">
        <v>2222</v>
      </c>
      <c r="I15">
        <v>2222</v>
      </c>
      <c r="J15">
        <v>2222</v>
      </c>
      <c r="K15">
        <v>2222</v>
      </c>
      <c r="L15">
        <v>2222</v>
      </c>
      <c r="M15">
        <v>2222</v>
      </c>
      <c r="N15">
        <v>2222</v>
      </c>
      <c r="O15">
        <v>2222</v>
      </c>
      <c r="P15">
        <v>2222</v>
      </c>
      <c r="Q15" s="25">
        <v>2222</v>
      </c>
      <c r="S15">
        <f ca="1">INDEX(INDIRECT($R$5),$U$4,11)</f>
        <v>1333</v>
      </c>
      <c r="W15">
        <f ca="1">INDEX(INDIRECT($V$5),11,$Y$4)</f>
        <v>2222</v>
      </c>
    </row>
    <row r="16" spans="1:52" x14ac:dyDescent="0.35">
      <c r="A16">
        <v>5200</v>
      </c>
      <c r="B16" s="47">
        <v>2312</v>
      </c>
      <c r="C16">
        <v>2312</v>
      </c>
      <c r="D16">
        <v>2312</v>
      </c>
      <c r="E16">
        <v>2312</v>
      </c>
      <c r="F16">
        <v>2312</v>
      </c>
      <c r="G16">
        <v>2312</v>
      </c>
      <c r="H16">
        <v>2312</v>
      </c>
      <c r="I16">
        <v>2312</v>
      </c>
      <c r="J16">
        <v>2312</v>
      </c>
      <c r="K16">
        <v>2312</v>
      </c>
      <c r="L16">
        <v>2312</v>
      </c>
      <c r="M16">
        <v>2312</v>
      </c>
      <c r="N16">
        <v>2312</v>
      </c>
      <c r="O16">
        <v>2312</v>
      </c>
      <c r="P16">
        <v>2312</v>
      </c>
      <c r="Q16" s="25">
        <v>2312</v>
      </c>
      <c r="S16">
        <f ca="1">INDEX(INDIRECT($R$5),$U$4,12)</f>
        <v>1333</v>
      </c>
      <c r="W16">
        <f ca="1">INDEX(INDIRECT($V$5),12,$Y$4)</f>
        <v>2312</v>
      </c>
    </row>
    <row r="17" spans="1:23" x14ac:dyDescent="0.35">
      <c r="A17">
        <v>5400</v>
      </c>
      <c r="B17" s="47">
        <v>2403</v>
      </c>
      <c r="C17">
        <v>2403</v>
      </c>
      <c r="D17">
        <v>2403</v>
      </c>
      <c r="E17">
        <v>2403</v>
      </c>
      <c r="F17">
        <v>2403</v>
      </c>
      <c r="G17">
        <v>2403</v>
      </c>
      <c r="H17">
        <v>2403</v>
      </c>
      <c r="I17">
        <v>2403</v>
      </c>
      <c r="J17">
        <v>2403</v>
      </c>
      <c r="K17">
        <v>2403</v>
      </c>
      <c r="L17">
        <v>2403</v>
      </c>
      <c r="M17">
        <v>2403</v>
      </c>
      <c r="N17">
        <v>2403</v>
      </c>
      <c r="O17">
        <v>2403</v>
      </c>
      <c r="P17">
        <v>2403</v>
      </c>
      <c r="Q17" s="25">
        <v>2403</v>
      </c>
      <c r="S17">
        <f ca="1">INDEX(INDIRECT($R$5),$U$4,13)</f>
        <v>1333</v>
      </c>
      <c r="W17">
        <f ca="1">INDEX(INDIRECT($V$5),13,$Y$4)</f>
        <v>2403</v>
      </c>
    </row>
    <row r="18" spans="1:23" x14ac:dyDescent="0.35">
      <c r="A18">
        <v>5600</v>
      </c>
      <c r="B18" s="47">
        <v>2489</v>
      </c>
      <c r="C18">
        <v>2489</v>
      </c>
      <c r="D18">
        <v>2489</v>
      </c>
      <c r="E18">
        <v>2489</v>
      </c>
      <c r="F18">
        <v>2489</v>
      </c>
      <c r="G18">
        <v>2489</v>
      </c>
      <c r="H18">
        <v>2489</v>
      </c>
      <c r="I18">
        <v>2489</v>
      </c>
      <c r="J18">
        <v>2489</v>
      </c>
      <c r="K18">
        <v>2489</v>
      </c>
      <c r="L18">
        <v>2489</v>
      </c>
      <c r="M18">
        <v>2489</v>
      </c>
      <c r="N18">
        <v>2489</v>
      </c>
      <c r="O18">
        <v>2489</v>
      </c>
      <c r="P18">
        <v>2489</v>
      </c>
      <c r="Q18" s="25">
        <v>2489</v>
      </c>
      <c r="S18">
        <f ca="1">INDEX(INDIRECT($R$5),$U$4,14)</f>
        <v>1333</v>
      </c>
      <c r="W18">
        <f ca="1">INDEX(INDIRECT($V$5),14,$Y$4)</f>
        <v>2489</v>
      </c>
    </row>
    <row r="19" spans="1:23" x14ac:dyDescent="0.35">
      <c r="A19">
        <v>5800</v>
      </c>
      <c r="B19" s="47">
        <v>2578</v>
      </c>
      <c r="C19">
        <v>2578</v>
      </c>
      <c r="D19">
        <v>2578</v>
      </c>
      <c r="E19">
        <v>2578</v>
      </c>
      <c r="F19">
        <v>2578</v>
      </c>
      <c r="G19">
        <v>2578</v>
      </c>
      <c r="H19">
        <v>2578</v>
      </c>
      <c r="I19">
        <v>2578</v>
      </c>
      <c r="J19">
        <v>2578</v>
      </c>
      <c r="K19">
        <v>2578</v>
      </c>
      <c r="L19">
        <v>2578</v>
      </c>
      <c r="M19">
        <v>2578</v>
      </c>
      <c r="N19">
        <v>2578</v>
      </c>
      <c r="O19">
        <v>2578</v>
      </c>
      <c r="P19">
        <v>2578</v>
      </c>
      <c r="Q19" s="25">
        <v>2578</v>
      </c>
      <c r="S19">
        <f ca="1">INDEX(INDIRECT($R$5),$U$4,15)</f>
        <v>1333</v>
      </c>
      <c r="W19">
        <f ca="1">INDEX(INDIRECT($V$5),15,$Y$4)</f>
        <v>2578</v>
      </c>
    </row>
    <row r="20" spans="1:23" x14ac:dyDescent="0.35">
      <c r="A20">
        <v>6000</v>
      </c>
      <c r="B20" s="47">
        <v>2667</v>
      </c>
      <c r="C20">
        <v>2667</v>
      </c>
      <c r="D20">
        <v>2667</v>
      </c>
      <c r="E20">
        <v>2667</v>
      </c>
      <c r="F20">
        <v>2667</v>
      </c>
      <c r="G20">
        <v>2667</v>
      </c>
      <c r="H20">
        <v>2667</v>
      </c>
      <c r="I20">
        <v>2667</v>
      </c>
      <c r="J20">
        <v>2667</v>
      </c>
      <c r="K20">
        <v>2667</v>
      </c>
      <c r="L20">
        <v>2667</v>
      </c>
      <c r="M20">
        <v>2667</v>
      </c>
      <c r="N20">
        <v>2667</v>
      </c>
      <c r="O20">
        <v>2667</v>
      </c>
      <c r="P20">
        <v>2667</v>
      </c>
      <c r="Q20" s="25">
        <v>2667</v>
      </c>
      <c r="S20">
        <f ca="1">INDEX(INDIRECT($R$5),$U$4,16)</f>
        <v>1333</v>
      </c>
      <c r="W20">
        <f ca="1">INDEX(INDIRECT($V$5),16,$Y$4)</f>
        <v>2667</v>
      </c>
    </row>
    <row r="21" spans="1:23" x14ac:dyDescent="0.35">
      <c r="A21">
        <v>6200</v>
      </c>
      <c r="B21" s="47">
        <v>2756</v>
      </c>
      <c r="C21">
        <v>2756</v>
      </c>
      <c r="D21">
        <v>2756</v>
      </c>
      <c r="E21">
        <v>2756</v>
      </c>
      <c r="F21">
        <v>2756</v>
      </c>
      <c r="G21">
        <v>2756</v>
      </c>
      <c r="H21">
        <v>2756</v>
      </c>
      <c r="I21">
        <v>2756</v>
      </c>
      <c r="J21">
        <v>2756</v>
      </c>
      <c r="K21">
        <v>2756</v>
      </c>
      <c r="L21">
        <v>2756</v>
      </c>
      <c r="M21">
        <v>2756</v>
      </c>
      <c r="N21">
        <v>2756</v>
      </c>
      <c r="O21">
        <v>2756</v>
      </c>
      <c r="P21">
        <v>2756</v>
      </c>
      <c r="Q21" s="25">
        <v>2756</v>
      </c>
      <c r="W21">
        <f ca="1">INDEX(INDIRECT($V$5),17,$Y$4)</f>
        <v>2756</v>
      </c>
    </row>
    <row r="22" spans="1:23" x14ac:dyDescent="0.35">
      <c r="A22">
        <v>6400</v>
      </c>
      <c r="B22" s="47">
        <v>2845</v>
      </c>
      <c r="C22">
        <v>2845</v>
      </c>
      <c r="D22">
        <v>2845</v>
      </c>
      <c r="E22">
        <v>2845</v>
      </c>
      <c r="F22">
        <v>2845</v>
      </c>
      <c r="G22">
        <v>2845</v>
      </c>
      <c r="H22">
        <v>2845</v>
      </c>
      <c r="I22">
        <v>2845</v>
      </c>
      <c r="J22">
        <v>2845</v>
      </c>
      <c r="K22">
        <v>2845</v>
      </c>
      <c r="L22">
        <v>2845</v>
      </c>
      <c r="M22">
        <v>2845</v>
      </c>
      <c r="N22">
        <v>2845</v>
      </c>
      <c r="O22">
        <v>2845</v>
      </c>
      <c r="P22">
        <v>2845</v>
      </c>
      <c r="Q22" s="25">
        <v>2845</v>
      </c>
      <c r="W22">
        <f ca="1">INDEX(INDIRECT($V$5),18,$Y$4)</f>
        <v>2845</v>
      </c>
    </row>
    <row r="23" spans="1:23" x14ac:dyDescent="0.35">
      <c r="A23">
        <v>6600</v>
      </c>
      <c r="B23" s="47">
        <v>2933</v>
      </c>
      <c r="C23">
        <v>2933</v>
      </c>
      <c r="D23">
        <v>2933</v>
      </c>
      <c r="E23">
        <v>2933</v>
      </c>
      <c r="F23">
        <v>2933</v>
      </c>
      <c r="G23">
        <v>2933</v>
      </c>
      <c r="H23">
        <v>2933</v>
      </c>
      <c r="I23">
        <v>2933</v>
      </c>
      <c r="J23">
        <v>2933</v>
      </c>
      <c r="K23">
        <v>2933</v>
      </c>
      <c r="L23">
        <v>2933</v>
      </c>
      <c r="M23">
        <v>2933</v>
      </c>
      <c r="N23">
        <v>2933</v>
      </c>
      <c r="O23">
        <v>2933</v>
      </c>
      <c r="P23">
        <v>2933</v>
      </c>
      <c r="Q23" s="25">
        <v>2933</v>
      </c>
      <c r="W23">
        <f ca="1">INDEX(INDIRECT($V$5),19,$Y$4)</f>
        <v>2933</v>
      </c>
    </row>
    <row r="24" spans="1:23" x14ac:dyDescent="0.35">
      <c r="A24">
        <v>6800</v>
      </c>
      <c r="B24" s="47">
        <v>3022</v>
      </c>
      <c r="C24">
        <v>3022</v>
      </c>
      <c r="D24">
        <v>3022</v>
      </c>
      <c r="E24">
        <v>3022</v>
      </c>
      <c r="F24">
        <v>3022</v>
      </c>
      <c r="G24">
        <v>3022</v>
      </c>
      <c r="H24">
        <v>3022</v>
      </c>
      <c r="I24">
        <v>3022</v>
      </c>
      <c r="J24">
        <v>3022</v>
      </c>
      <c r="K24">
        <v>3022</v>
      </c>
      <c r="L24">
        <v>3022</v>
      </c>
      <c r="M24">
        <v>3022</v>
      </c>
      <c r="N24">
        <v>3022</v>
      </c>
      <c r="O24">
        <v>3022</v>
      </c>
      <c r="P24">
        <v>3022</v>
      </c>
      <c r="Q24" s="25">
        <v>3022</v>
      </c>
      <c r="W24">
        <f ca="1">INDEX(INDIRECT($V$5),20,$Y$4)</f>
        <v>3022</v>
      </c>
    </row>
    <row r="25" spans="1:23" x14ac:dyDescent="0.35">
      <c r="A25">
        <v>7000</v>
      </c>
      <c r="B25" s="63">
        <v>3111</v>
      </c>
      <c r="C25" s="34">
        <v>3111</v>
      </c>
      <c r="D25" s="34">
        <v>3111</v>
      </c>
      <c r="E25" s="34">
        <v>3111</v>
      </c>
      <c r="F25" s="34">
        <v>3111</v>
      </c>
      <c r="G25" s="34">
        <v>3111</v>
      </c>
      <c r="H25" s="34">
        <v>3111</v>
      </c>
      <c r="I25" s="34">
        <v>3111</v>
      </c>
      <c r="J25" s="34">
        <v>3111</v>
      </c>
      <c r="K25" s="34">
        <v>3111</v>
      </c>
      <c r="L25" s="34">
        <v>3111</v>
      </c>
      <c r="M25" s="34">
        <v>3111</v>
      </c>
      <c r="N25" s="34">
        <v>3111</v>
      </c>
      <c r="O25" s="34">
        <v>3111</v>
      </c>
      <c r="P25" s="34">
        <v>3111</v>
      </c>
      <c r="Q25" s="27">
        <v>3111</v>
      </c>
      <c r="W25">
        <f ca="1">INDEX(INDIRECT($V$5),21,$Y$4)</f>
        <v>3111</v>
      </c>
    </row>
    <row r="27" spans="1:23" x14ac:dyDescent="0.35">
      <c r="A27" s="43" t="s">
        <v>71</v>
      </c>
      <c r="B27" s="37">
        <v>0</v>
      </c>
      <c r="C27" s="37">
        <v>200</v>
      </c>
      <c r="D27" s="37">
        <v>400</v>
      </c>
      <c r="E27" s="37">
        <v>600</v>
      </c>
      <c r="F27" s="37">
        <v>800</v>
      </c>
      <c r="G27" s="37">
        <v>1000</v>
      </c>
      <c r="H27" s="37">
        <v>1200</v>
      </c>
      <c r="I27" s="37">
        <v>1400</v>
      </c>
      <c r="J27" s="37">
        <v>1600</v>
      </c>
      <c r="K27" s="37">
        <v>1800</v>
      </c>
      <c r="L27" s="37">
        <v>2000</v>
      </c>
      <c r="M27" s="37">
        <v>2200</v>
      </c>
      <c r="N27" s="37">
        <v>2400</v>
      </c>
      <c r="O27" s="37">
        <v>2600</v>
      </c>
      <c r="P27" s="37">
        <v>2800</v>
      </c>
      <c r="Q27" s="37">
        <v>3000</v>
      </c>
    </row>
    <row r="28" spans="1:23" x14ac:dyDescent="0.35">
      <c r="A28">
        <v>3000</v>
      </c>
      <c r="B28" s="62">
        <v>1481</v>
      </c>
      <c r="C28" s="33">
        <v>1481</v>
      </c>
      <c r="D28" s="33">
        <v>1481</v>
      </c>
      <c r="E28" s="33">
        <v>1481</v>
      </c>
      <c r="F28" s="33">
        <v>1481</v>
      </c>
      <c r="G28" s="33">
        <v>1481</v>
      </c>
      <c r="H28" s="33">
        <v>1481</v>
      </c>
      <c r="I28" s="33">
        <v>1481</v>
      </c>
      <c r="J28" s="33">
        <v>1481</v>
      </c>
      <c r="K28" s="33">
        <v>1481</v>
      </c>
      <c r="L28" s="33">
        <v>1481</v>
      </c>
      <c r="M28" s="33">
        <v>1481</v>
      </c>
      <c r="N28" s="33">
        <v>1481</v>
      </c>
      <c r="O28" s="33">
        <v>1481</v>
      </c>
      <c r="P28" s="33">
        <v>1481</v>
      </c>
      <c r="Q28" s="23">
        <v>1481</v>
      </c>
    </row>
    <row r="29" spans="1:23" x14ac:dyDescent="0.35">
      <c r="A29">
        <v>3200</v>
      </c>
      <c r="B29" s="47">
        <v>1579</v>
      </c>
      <c r="C29">
        <v>1579</v>
      </c>
      <c r="D29">
        <v>1579</v>
      </c>
      <c r="E29">
        <v>1579</v>
      </c>
      <c r="F29">
        <v>1579</v>
      </c>
      <c r="G29">
        <v>1579</v>
      </c>
      <c r="H29">
        <v>1579</v>
      </c>
      <c r="I29">
        <v>1579</v>
      </c>
      <c r="J29">
        <v>1579</v>
      </c>
      <c r="K29">
        <v>1579</v>
      </c>
      <c r="L29">
        <v>1579</v>
      </c>
      <c r="M29">
        <v>1579</v>
      </c>
      <c r="N29">
        <v>1579</v>
      </c>
      <c r="O29">
        <v>1579</v>
      </c>
      <c r="P29">
        <v>1579</v>
      </c>
      <c r="Q29" s="25">
        <v>1579</v>
      </c>
    </row>
    <row r="30" spans="1:23" x14ac:dyDescent="0.35">
      <c r="A30">
        <v>3400</v>
      </c>
      <c r="B30" s="47">
        <v>1678</v>
      </c>
      <c r="C30">
        <v>1678</v>
      </c>
      <c r="D30">
        <v>1678</v>
      </c>
      <c r="E30">
        <v>1678</v>
      </c>
      <c r="F30">
        <v>1678</v>
      </c>
      <c r="G30">
        <v>1678</v>
      </c>
      <c r="H30">
        <v>1678</v>
      </c>
      <c r="I30">
        <v>1678</v>
      </c>
      <c r="J30">
        <v>1678</v>
      </c>
      <c r="K30">
        <v>1678</v>
      </c>
      <c r="L30">
        <v>1678</v>
      </c>
      <c r="M30">
        <v>1678</v>
      </c>
      <c r="N30">
        <v>1678</v>
      </c>
      <c r="O30">
        <v>1678</v>
      </c>
      <c r="P30">
        <v>1678</v>
      </c>
      <c r="Q30" s="25">
        <v>1678</v>
      </c>
    </row>
    <row r="31" spans="1:23" x14ac:dyDescent="0.35">
      <c r="A31">
        <v>3600</v>
      </c>
      <c r="B31" s="47">
        <v>1778</v>
      </c>
      <c r="C31">
        <v>1778</v>
      </c>
      <c r="D31">
        <v>1778</v>
      </c>
      <c r="E31">
        <v>1778</v>
      </c>
      <c r="F31">
        <v>1778</v>
      </c>
      <c r="G31">
        <v>1778</v>
      </c>
      <c r="H31">
        <v>1778</v>
      </c>
      <c r="I31">
        <v>1778</v>
      </c>
      <c r="J31">
        <v>1778</v>
      </c>
      <c r="K31">
        <v>1778</v>
      </c>
      <c r="L31">
        <v>1778</v>
      </c>
      <c r="M31">
        <v>1778</v>
      </c>
      <c r="N31">
        <v>1778</v>
      </c>
      <c r="O31">
        <v>1778</v>
      </c>
      <c r="P31">
        <v>1778</v>
      </c>
      <c r="Q31" s="25">
        <v>1778</v>
      </c>
    </row>
    <row r="32" spans="1:23" x14ac:dyDescent="0.35">
      <c r="A32">
        <v>3800</v>
      </c>
      <c r="B32" s="47">
        <v>1876</v>
      </c>
      <c r="C32">
        <v>1876</v>
      </c>
      <c r="D32">
        <v>1876</v>
      </c>
      <c r="E32">
        <v>1876</v>
      </c>
      <c r="F32">
        <v>1876</v>
      </c>
      <c r="G32">
        <v>1876</v>
      </c>
      <c r="H32">
        <v>1876</v>
      </c>
      <c r="I32">
        <v>1876</v>
      </c>
      <c r="J32">
        <v>1876</v>
      </c>
      <c r="K32">
        <v>1876</v>
      </c>
      <c r="L32">
        <v>1876</v>
      </c>
      <c r="M32">
        <v>1876</v>
      </c>
      <c r="N32">
        <v>1876</v>
      </c>
      <c r="O32">
        <v>1876</v>
      </c>
      <c r="P32">
        <v>1876</v>
      </c>
      <c r="Q32" s="25">
        <v>1876</v>
      </c>
    </row>
    <row r="33" spans="1:17" x14ac:dyDescent="0.35">
      <c r="A33">
        <v>4000</v>
      </c>
      <c r="B33" s="47">
        <v>1975</v>
      </c>
      <c r="C33">
        <v>1975</v>
      </c>
      <c r="D33">
        <v>1975</v>
      </c>
      <c r="E33">
        <v>1975</v>
      </c>
      <c r="F33">
        <v>1975</v>
      </c>
      <c r="G33">
        <v>1975</v>
      </c>
      <c r="H33">
        <v>1975</v>
      </c>
      <c r="I33">
        <v>1975</v>
      </c>
      <c r="J33">
        <v>1975</v>
      </c>
      <c r="K33">
        <v>1975</v>
      </c>
      <c r="L33">
        <v>1975</v>
      </c>
      <c r="M33">
        <v>1975</v>
      </c>
      <c r="N33">
        <v>1975</v>
      </c>
      <c r="O33">
        <v>1975</v>
      </c>
      <c r="P33">
        <v>1975</v>
      </c>
      <c r="Q33" s="25">
        <v>1975</v>
      </c>
    </row>
    <row r="34" spans="1:17" x14ac:dyDescent="0.35">
      <c r="A34">
        <v>4200</v>
      </c>
      <c r="B34" s="47">
        <v>2074</v>
      </c>
      <c r="C34">
        <v>2074</v>
      </c>
      <c r="D34">
        <v>2074</v>
      </c>
      <c r="E34">
        <v>2074</v>
      </c>
      <c r="F34">
        <v>2074</v>
      </c>
      <c r="G34">
        <v>2074</v>
      </c>
      <c r="H34">
        <v>2074</v>
      </c>
      <c r="I34">
        <v>2074</v>
      </c>
      <c r="J34">
        <v>2074</v>
      </c>
      <c r="K34">
        <v>2074</v>
      </c>
      <c r="L34">
        <v>2074</v>
      </c>
      <c r="M34">
        <v>2074</v>
      </c>
      <c r="N34">
        <v>2074</v>
      </c>
      <c r="O34">
        <v>2074</v>
      </c>
      <c r="P34">
        <v>2074</v>
      </c>
      <c r="Q34" s="25">
        <v>2074</v>
      </c>
    </row>
    <row r="35" spans="1:17" x14ac:dyDescent="0.35">
      <c r="A35">
        <v>4400</v>
      </c>
      <c r="B35" s="47">
        <v>2173</v>
      </c>
      <c r="C35">
        <v>2173</v>
      </c>
      <c r="D35">
        <v>2173</v>
      </c>
      <c r="E35">
        <v>2173</v>
      </c>
      <c r="F35">
        <v>2173</v>
      </c>
      <c r="G35">
        <v>2173</v>
      </c>
      <c r="H35">
        <v>2173</v>
      </c>
      <c r="I35">
        <v>2173</v>
      </c>
      <c r="J35">
        <v>2173</v>
      </c>
      <c r="K35">
        <v>2173</v>
      </c>
      <c r="L35">
        <v>2173</v>
      </c>
      <c r="M35">
        <v>2173</v>
      </c>
      <c r="N35">
        <v>2173</v>
      </c>
      <c r="O35">
        <v>2173</v>
      </c>
      <c r="P35">
        <v>2173</v>
      </c>
      <c r="Q35" s="25">
        <v>2173</v>
      </c>
    </row>
    <row r="36" spans="1:17" x14ac:dyDescent="0.35">
      <c r="A36">
        <v>4600</v>
      </c>
      <c r="B36" s="47">
        <v>2271</v>
      </c>
      <c r="C36">
        <v>2271</v>
      </c>
      <c r="D36">
        <v>2271</v>
      </c>
      <c r="E36">
        <v>2271</v>
      </c>
      <c r="F36">
        <v>2271</v>
      </c>
      <c r="G36">
        <v>2271</v>
      </c>
      <c r="H36">
        <v>2271</v>
      </c>
      <c r="I36">
        <v>2271</v>
      </c>
      <c r="J36">
        <v>2271</v>
      </c>
      <c r="K36">
        <v>2271</v>
      </c>
      <c r="L36">
        <v>2271</v>
      </c>
      <c r="M36">
        <v>2271</v>
      </c>
      <c r="N36">
        <v>2271</v>
      </c>
      <c r="O36">
        <v>2271</v>
      </c>
      <c r="P36">
        <v>2271</v>
      </c>
      <c r="Q36" s="25">
        <v>2271</v>
      </c>
    </row>
    <row r="37" spans="1:17" x14ac:dyDescent="0.35">
      <c r="A37">
        <v>4800</v>
      </c>
      <c r="B37" s="47">
        <v>2369</v>
      </c>
      <c r="C37">
        <v>2369</v>
      </c>
      <c r="D37">
        <v>2369</v>
      </c>
      <c r="E37">
        <v>2369</v>
      </c>
      <c r="F37">
        <v>2369</v>
      </c>
      <c r="G37">
        <v>2369</v>
      </c>
      <c r="H37">
        <v>2369</v>
      </c>
      <c r="I37">
        <v>2369</v>
      </c>
      <c r="J37">
        <v>2369</v>
      </c>
      <c r="K37">
        <v>2369</v>
      </c>
      <c r="L37">
        <v>2369</v>
      </c>
      <c r="M37">
        <v>2369</v>
      </c>
      <c r="N37">
        <v>2369</v>
      </c>
      <c r="O37">
        <v>2369</v>
      </c>
      <c r="P37">
        <v>2369</v>
      </c>
      <c r="Q37" s="25">
        <v>2369</v>
      </c>
    </row>
    <row r="38" spans="1:17" x14ac:dyDescent="0.35">
      <c r="A38">
        <v>5000</v>
      </c>
      <c r="B38" s="47">
        <v>2468</v>
      </c>
      <c r="C38">
        <v>2468</v>
      </c>
      <c r="D38">
        <v>2468</v>
      </c>
      <c r="E38">
        <v>2468</v>
      </c>
      <c r="F38">
        <v>2468</v>
      </c>
      <c r="G38">
        <v>2468</v>
      </c>
      <c r="H38">
        <v>2468</v>
      </c>
      <c r="I38">
        <v>2468</v>
      </c>
      <c r="J38">
        <v>2468</v>
      </c>
      <c r="K38">
        <v>2468</v>
      </c>
      <c r="L38">
        <v>2468</v>
      </c>
      <c r="M38">
        <v>2468</v>
      </c>
      <c r="N38">
        <v>2468</v>
      </c>
      <c r="O38">
        <v>2468</v>
      </c>
      <c r="P38">
        <v>2468</v>
      </c>
      <c r="Q38" s="25">
        <v>2468</v>
      </c>
    </row>
    <row r="39" spans="1:17" x14ac:dyDescent="0.35">
      <c r="A39">
        <v>5200</v>
      </c>
      <c r="B39" s="47">
        <v>2568</v>
      </c>
      <c r="C39">
        <v>2568</v>
      </c>
      <c r="D39">
        <v>2568</v>
      </c>
      <c r="E39">
        <v>2568</v>
      </c>
      <c r="F39">
        <v>2568</v>
      </c>
      <c r="G39">
        <v>2568</v>
      </c>
      <c r="H39">
        <v>2568</v>
      </c>
      <c r="I39">
        <v>2568</v>
      </c>
      <c r="J39">
        <v>2568</v>
      </c>
      <c r="K39">
        <v>2568</v>
      </c>
      <c r="L39">
        <v>2568</v>
      </c>
      <c r="M39">
        <v>2568</v>
      </c>
      <c r="N39">
        <v>2568</v>
      </c>
      <c r="O39">
        <v>2568</v>
      </c>
      <c r="P39">
        <v>2568</v>
      </c>
      <c r="Q39" s="25">
        <v>2568</v>
      </c>
    </row>
    <row r="40" spans="1:17" x14ac:dyDescent="0.35">
      <c r="A40">
        <v>5400</v>
      </c>
      <c r="B40" s="47">
        <v>2667</v>
      </c>
      <c r="C40">
        <v>2667</v>
      </c>
      <c r="D40">
        <v>2667</v>
      </c>
      <c r="E40">
        <v>2667</v>
      </c>
      <c r="F40">
        <v>2667</v>
      </c>
      <c r="G40">
        <v>2667</v>
      </c>
      <c r="H40">
        <v>2667</v>
      </c>
      <c r="I40">
        <v>2667</v>
      </c>
      <c r="J40">
        <v>2667</v>
      </c>
      <c r="K40">
        <v>2667</v>
      </c>
      <c r="L40">
        <v>2667</v>
      </c>
      <c r="M40">
        <v>2667</v>
      </c>
      <c r="N40">
        <v>2667</v>
      </c>
      <c r="O40">
        <v>2667</v>
      </c>
      <c r="P40">
        <v>2667</v>
      </c>
      <c r="Q40" s="25">
        <v>2667</v>
      </c>
    </row>
    <row r="41" spans="1:17" x14ac:dyDescent="0.35">
      <c r="A41">
        <v>5600</v>
      </c>
      <c r="B41" s="47">
        <v>2765</v>
      </c>
      <c r="C41">
        <v>2765</v>
      </c>
      <c r="D41">
        <v>2765</v>
      </c>
      <c r="E41">
        <v>2765</v>
      </c>
      <c r="F41">
        <v>2765</v>
      </c>
      <c r="G41">
        <v>2765</v>
      </c>
      <c r="H41">
        <v>2765</v>
      </c>
      <c r="I41">
        <v>2765</v>
      </c>
      <c r="J41">
        <v>2765</v>
      </c>
      <c r="K41">
        <v>2765</v>
      </c>
      <c r="L41">
        <v>2765</v>
      </c>
      <c r="M41">
        <v>2765</v>
      </c>
      <c r="N41">
        <v>2765</v>
      </c>
      <c r="O41">
        <v>2765</v>
      </c>
      <c r="P41">
        <v>2765</v>
      </c>
      <c r="Q41" s="25">
        <v>2765</v>
      </c>
    </row>
    <row r="42" spans="1:17" x14ac:dyDescent="0.35">
      <c r="A42">
        <v>5800</v>
      </c>
      <c r="B42" s="47">
        <v>2864</v>
      </c>
      <c r="C42">
        <v>2864</v>
      </c>
      <c r="D42">
        <v>2864</v>
      </c>
      <c r="E42">
        <v>2864</v>
      </c>
      <c r="F42">
        <v>2864</v>
      </c>
      <c r="G42">
        <v>2864</v>
      </c>
      <c r="H42">
        <v>2864</v>
      </c>
      <c r="I42">
        <v>2864</v>
      </c>
      <c r="J42">
        <v>2864</v>
      </c>
      <c r="K42">
        <v>2864</v>
      </c>
      <c r="L42">
        <v>2864</v>
      </c>
      <c r="M42">
        <v>2864</v>
      </c>
      <c r="N42">
        <v>2864</v>
      </c>
      <c r="O42">
        <v>2864</v>
      </c>
      <c r="P42">
        <v>2864</v>
      </c>
      <c r="Q42" s="25">
        <v>2864</v>
      </c>
    </row>
    <row r="43" spans="1:17" x14ac:dyDescent="0.35">
      <c r="A43">
        <v>6000</v>
      </c>
      <c r="B43" s="47">
        <v>2963</v>
      </c>
      <c r="C43">
        <v>2963</v>
      </c>
      <c r="D43">
        <v>2963</v>
      </c>
      <c r="E43">
        <v>2963</v>
      </c>
      <c r="F43">
        <v>2963</v>
      </c>
      <c r="G43">
        <v>2963</v>
      </c>
      <c r="H43">
        <v>2963</v>
      </c>
      <c r="I43">
        <v>2963</v>
      </c>
      <c r="J43">
        <v>2963</v>
      </c>
      <c r="K43">
        <v>2963</v>
      </c>
      <c r="L43">
        <v>2963</v>
      </c>
      <c r="M43">
        <v>2963</v>
      </c>
      <c r="N43">
        <v>2963</v>
      </c>
      <c r="O43">
        <v>2963</v>
      </c>
      <c r="P43">
        <v>2963</v>
      </c>
      <c r="Q43" s="25">
        <v>2963</v>
      </c>
    </row>
    <row r="44" spans="1:17" x14ac:dyDescent="0.35">
      <c r="A44">
        <v>6200</v>
      </c>
      <c r="B44" s="47">
        <v>3061</v>
      </c>
      <c r="C44">
        <v>3061</v>
      </c>
      <c r="D44">
        <v>3061</v>
      </c>
      <c r="E44">
        <v>3061</v>
      </c>
      <c r="F44">
        <v>3061</v>
      </c>
      <c r="G44">
        <v>3061</v>
      </c>
      <c r="H44">
        <v>3061</v>
      </c>
      <c r="I44">
        <v>3061</v>
      </c>
      <c r="J44">
        <v>3061</v>
      </c>
      <c r="K44">
        <v>3061</v>
      </c>
      <c r="L44">
        <v>3061</v>
      </c>
      <c r="M44">
        <v>3061</v>
      </c>
      <c r="N44">
        <v>3061</v>
      </c>
      <c r="O44">
        <v>3061</v>
      </c>
      <c r="P44">
        <v>3061</v>
      </c>
      <c r="Q44" s="25">
        <v>3061</v>
      </c>
    </row>
    <row r="45" spans="1:17" x14ac:dyDescent="0.35">
      <c r="A45">
        <v>6400</v>
      </c>
      <c r="B45" s="47">
        <v>3160</v>
      </c>
      <c r="C45">
        <v>3160</v>
      </c>
      <c r="D45">
        <v>3160</v>
      </c>
      <c r="E45">
        <v>3160</v>
      </c>
      <c r="F45">
        <v>3160</v>
      </c>
      <c r="G45">
        <v>3160</v>
      </c>
      <c r="H45">
        <v>3160</v>
      </c>
      <c r="I45">
        <v>3160</v>
      </c>
      <c r="J45">
        <v>3160</v>
      </c>
      <c r="K45">
        <v>3160</v>
      </c>
      <c r="L45">
        <v>3160</v>
      </c>
      <c r="M45">
        <v>3160</v>
      </c>
      <c r="N45">
        <v>3160</v>
      </c>
      <c r="O45">
        <v>3160</v>
      </c>
      <c r="P45">
        <v>3160</v>
      </c>
      <c r="Q45" s="25">
        <v>3160</v>
      </c>
    </row>
    <row r="46" spans="1:17" x14ac:dyDescent="0.35">
      <c r="A46">
        <v>6600</v>
      </c>
      <c r="B46" s="47">
        <v>3258</v>
      </c>
      <c r="C46">
        <v>3258</v>
      </c>
      <c r="D46">
        <v>3258</v>
      </c>
      <c r="E46">
        <v>3258</v>
      </c>
      <c r="F46">
        <v>3258</v>
      </c>
      <c r="G46">
        <v>3258</v>
      </c>
      <c r="H46">
        <v>3258</v>
      </c>
      <c r="I46">
        <v>3258</v>
      </c>
      <c r="J46">
        <v>3258</v>
      </c>
      <c r="K46">
        <v>3258</v>
      </c>
      <c r="L46">
        <v>3258</v>
      </c>
      <c r="M46">
        <v>3258</v>
      </c>
      <c r="N46">
        <v>3258</v>
      </c>
      <c r="O46">
        <v>3258</v>
      </c>
      <c r="P46">
        <v>3258</v>
      </c>
      <c r="Q46" s="25">
        <v>3258</v>
      </c>
    </row>
    <row r="47" spans="1:17" x14ac:dyDescent="0.35">
      <c r="A47">
        <v>6800</v>
      </c>
      <c r="B47" s="47">
        <v>3357</v>
      </c>
      <c r="C47">
        <v>3357</v>
      </c>
      <c r="D47">
        <v>3357</v>
      </c>
      <c r="E47">
        <v>3357</v>
      </c>
      <c r="F47">
        <v>3357</v>
      </c>
      <c r="G47">
        <v>3357</v>
      </c>
      <c r="H47">
        <v>3357</v>
      </c>
      <c r="I47">
        <v>3357</v>
      </c>
      <c r="J47">
        <v>3357</v>
      </c>
      <c r="K47">
        <v>3357</v>
      </c>
      <c r="L47">
        <v>3357</v>
      </c>
      <c r="M47">
        <v>3357</v>
      </c>
      <c r="N47">
        <v>3357</v>
      </c>
      <c r="O47">
        <v>3357</v>
      </c>
      <c r="P47">
        <v>3357</v>
      </c>
      <c r="Q47" s="25">
        <v>3357</v>
      </c>
    </row>
    <row r="48" spans="1:17" x14ac:dyDescent="0.35">
      <c r="A48">
        <v>7000</v>
      </c>
      <c r="B48" s="63">
        <v>3456</v>
      </c>
      <c r="C48" s="34">
        <v>3456</v>
      </c>
      <c r="D48" s="34">
        <v>3456</v>
      </c>
      <c r="E48" s="34">
        <v>3456</v>
      </c>
      <c r="F48" s="34">
        <v>3456</v>
      </c>
      <c r="G48" s="34">
        <v>3456</v>
      </c>
      <c r="H48" s="34">
        <v>3456</v>
      </c>
      <c r="I48" s="34">
        <v>3456</v>
      </c>
      <c r="J48" s="34">
        <v>3456</v>
      </c>
      <c r="K48" s="34">
        <v>3456</v>
      </c>
      <c r="L48" s="34">
        <v>3456</v>
      </c>
      <c r="M48" s="34">
        <v>3456</v>
      </c>
      <c r="N48" s="34">
        <v>3456</v>
      </c>
      <c r="O48" s="34">
        <v>3456</v>
      </c>
      <c r="P48" s="34">
        <v>3456</v>
      </c>
      <c r="Q48" s="27">
        <v>3456</v>
      </c>
    </row>
    <row r="50" spans="1:17" x14ac:dyDescent="0.35">
      <c r="A50" s="43" t="s">
        <v>73</v>
      </c>
      <c r="B50" s="37">
        <v>0</v>
      </c>
      <c r="C50" s="37">
        <v>200</v>
      </c>
      <c r="D50" s="37">
        <v>400</v>
      </c>
      <c r="E50" s="37">
        <v>600</v>
      </c>
      <c r="F50" s="37">
        <v>800</v>
      </c>
      <c r="G50" s="37">
        <v>1000</v>
      </c>
      <c r="H50" s="37">
        <v>1200</v>
      </c>
      <c r="I50" s="37">
        <v>1400</v>
      </c>
      <c r="J50" s="37">
        <v>1600</v>
      </c>
      <c r="K50" s="37">
        <v>1800</v>
      </c>
      <c r="L50" s="37">
        <v>2000</v>
      </c>
      <c r="M50" s="37">
        <v>2200</v>
      </c>
      <c r="N50" s="37">
        <v>2400</v>
      </c>
      <c r="O50" s="37">
        <v>2600</v>
      </c>
      <c r="P50" s="37">
        <v>2800</v>
      </c>
      <c r="Q50" s="37">
        <v>3000</v>
      </c>
    </row>
    <row r="51" spans="1:17" x14ac:dyDescent="0.35">
      <c r="A51">
        <v>3000</v>
      </c>
      <c r="B51" s="62">
        <v>1</v>
      </c>
      <c r="C51" s="33">
        <v>1</v>
      </c>
      <c r="D51" s="33">
        <v>1</v>
      </c>
      <c r="E51" s="33">
        <v>1</v>
      </c>
      <c r="F51" s="33">
        <v>1</v>
      </c>
      <c r="G51" s="33">
        <v>1</v>
      </c>
      <c r="H51" s="33">
        <v>1</v>
      </c>
      <c r="I51" s="33">
        <v>1</v>
      </c>
      <c r="J51" s="33">
        <v>1</v>
      </c>
      <c r="K51" s="33">
        <v>1</v>
      </c>
      <c r="L51" s="33">
        <v>1</v>
      </c>
      <c r="M51" s="33">
        <v>1</v>
      </c>
      <c r="N51" s="33">
        <v>1</v>
      </c>
      <c r="O51" s="33">
        <v>1</v>
      </c>
      <c r="P51" s="33">
        <v>1</v>
      </c>
      <c r="Q51" s="23">
        <v>1</v>
      </c>
    </row>
    <row r="52" spans="1:17" x14ac:dyDescent="0.35">
      <c r="A52">
        <v>3200</v>
      </c>
      <c r="B52" s="47">
        <v>2</v>
      </c>
      <c r="C52">
        <v>2</v>
      </c>
      <c r="D52">
        <v>2</v>
      </c>
      <c r="E52">
        <v>2</v>
      </c>
      <c r="F52">
        <v>2</v>
      </c>
      <c r="G52">
        <v>2</v>
      </c>
      <c r="H52">
        <v>2</v>
      </c>
      <c r="I52">
        <v>2</v>
      </c>
      <c r="J52">
        <v>2</v>
      </c>
      <c r="K52">
        <v>2</v>
      </c>
      <c r="L52">
        <v>2</v>
      </c>
      <c r="M52">
        <v>2</v>
      </c>
      <c r="N52">
        <v>2</v>
      </c>
      <c r="O52">
        <v>2</v>
      </c>
      <c r="P52">
        <v>2</v>
      </c>
      <c r="Q52" s="25">
        <v>2</v>
      </c>
    </row>
    <row r="53" spans="1:17" x14ac:dyDescent="0.35">
      <c r="A53">
        <v>3400</v>
      </c>
      <c r="B53" s="47">
        <v>2</v>
      </c>
      <c r="C53">
        <v>2</v>
      </c>
      <c r="D53">
        <v>2</v>
      </c>
      <c r="E53">
        <v>2</v>
      </c>
      <c r="F53">
        <v>2</v>
      </c>
      <c r="G53">
        <v>2</v>
      </c>
      <c r="H53">
        <v>2</v>
      </c>
      <c r="I53">
        <v>2</v>
      </c>
      <c r="J53">
        <v>2</v>
      </c>
      <c r="K53">
        <v>2</v>
      </c>
      <c r="L53">
        <v>2</v>
      </c>
      <c r="M53">
        <v>2</v>
      </c>
      <c r="N53">
        <v>2</v>
      </c>
      <c r="O53">
        <v>2</v>
      </c>
      <c r="P53">
        <v>2</v>
      </c>
      <c r="Q53" s="25">
        <v>2</v>
      </c>
    </row>
    <row r="54" spans="1:17" x14ac:dyDescent="0.35">
      <c r="A54">
        <v>3600</v>
      </c>
      <c r="B54" s="47">
        <v>0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 s="25">
        <v>0</v>
      </c>
    </row>
    <row r="55" spans="1:17" x14ac:dyDescent="0.35">
      <c r="A55">
        <v>3800</v>
      </c>
      <c r="B55" s="47">
        <v>0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 s="25">
        <v>0</v>
      </c>
    </row>
    <row r="56" spans="1:17" x14ac:dyDescent="0.35">
      <c r="A56">
        <v>4000</v>
      </c>
      <c r="B56" s="47">
        <v>0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 s="25">
        <v>0</v>
      </c>
    </row>
    <row r="57" spans="1:17" x14ac:dyDescent="0.35">
      <c r="A57">
        <v>4200</v>
      </c>
      <c r="B57" s="47">
        <v>0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 s="25">
        <v>0</v>
      </c>
    </row>
    <row r="58" spans="1:17" x14ac:dyDescent="0.35">
      <c r="A58">
        <v>4400</v>
      </c>
      <c r="B58" s="47">
        <v>0</v>
      </c>
      <c r="C58">
        <v>0</v>
      </c>
      <c r="D58">
        <v>0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0</v>
      </c>
      <c r="N58">
        <v>0</v>
      </c>
      <c r="O58">
        <v>0</v>
      </c>
      <c r="P58">
        <v>0</v>
      </c>
      <c r="Q58" s="25">
        <v>0</v>
      </c>
    </row>
    <row r="59" spans="1:17" x14ac:dyDescent="0.35">
      <c r="A59">
        <v>4600</v>
      </c>
      <c r="B59" s="47">
        <v>0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 s="25">
        <v>0</v>
      </c>
    </row>
    <row r="60" spans="1:17" x14ac:dyDescent="0.35">
      <c r="A60">
        <v>4800</v>
      </c>
      <c r="B60" s="47">
        <v>2</v>
      </c>
      <c r="C60">
        <v>2</v>
      </c>
      <c r="D60">
        <v>2</v>
      </c>
      <c r="E60">
        <v>2</v>
      </c>
      <c r="F60">
        <v>2</v>
      </c>
      <c r="G60">
        <v>2</v>
      </c>
      <c r="H60">
        <v>2</v>
      </c>
      <c r="I60">
        <v>2</v>
      </c>
      <c r="J60">
        <v>2</v>
      </c>
      <c r="K60">
        <v>2</v>
      </c>
      <c r="L60">
        <v>2</v>
      </c>
      <c r="M60">
        <v>2</v>
      </c>
      <c r="N60">
        <v>2</v>
      </c>
      <c r="O60">
        <v>2</v>
      </c>
      <c r="P60">
        <v>2</v>
      </c>
      <c r="Q60" s="25">
        <v>2</v>
      </c>
    </row>
    <row r="61" spans="1:17" x14ac:dyDescent="0.35">
      <c r="A61">
        <v>5000</v>
      </c>
      <c r="B61" s="47">
        <v>2</v>
      </c>
      <c r="C61">
        <v>2</v>
      </c>
      <c r="D61">
        <v>2</v>
      </c>
      <c r="E61">
        <v>2</v>
      </c>
      <c r="F61">
        <v>2</v>
      </c>
      <c r="G61">
        <v>2</v>
      </c>
      <c r="H61">
        <v>2</v>
      </c>
      <c r="I61">
        <v>2</v>
      </c>
      <c r="J61">
        <v>2</v>
      </c>
      <c r="K61">
        <v>2</v>
      </c>
      <c r="L61">
        <v>2</v>
      </c>
      <c r="M61">
        <v>2</v>
      </c>
      <c r="N61">
        <v>2</v>
      </c>
      <c r="O61">
        <v>2</v>
      </c>
      <c r="P61">
        <v>2</v>
      </c>
      <c r="Q61" s="25">
        <v>2</v>
      </c>
    </row>
    <row r="62" spans="1:17" x14ac:dyDescent="0.35">
      <c r="A62">
        <v>5200</v>
      </c>
      <c r="B62" s="47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0</v>
      </c>
      <c r="N62">
        <v>0</v>
      </c>
      <c r="O62">
        <v>0</v>
      </c>
      <c r="P62">
        <v>0</v>
      </c>
      <c r="Q62" s="25">
        <v>0</v>
      </c>
    </row>
    <row r="63" spans="1:17" x14ac:dyDescent="0.35">
      <c r="A63">
        <v>5400</v>
      </c>
      <c r="B63" s="47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0</v>
      </c>
      <c r="P63">
        <v>0</v>
      </c>
      <c r="Q63" s="25">
        <v>0</v>
      </c>
    </row>
    <row r="64" spans="1:17" x14ac:dyDescent="0.35">
      <c r="A64">
        <v>5600</v>
      </c>
      <c r="B64" s="47">
        <v>0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 s="25">
        <v>0</v>
      </c>
    </row>
    <row r="65" spans="1:17" x14ac:dyDescent="0.35">
      <c r="A65">
        <v>5800</v>
      </c>
      <c r="B65" s="47">
        <v>0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 s="25">
        <v>0</v>
      </c>
    </row>
    <row r="66" spans="1:17" x14ac:dyDescent="0.35">
      <c r="A66">
        <v>6000</v>
      </c>
      <c r="B66" s="47">
        <v>0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 s="25">
        <v>0</v>
      </c>
    </row>
    <row r="67" spans="1:17" x14ac:dyDescent="0.35">
      <c r="A67">
        <v>6200</v>
      </c>
      <c r="B67" s="47">
        <v>0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 s="25">
        <v>0</v>
      </c>
    </row>
    <row r="68" spans="1:17" x14ac:dyDescent="0.35">
      <c r="A68">
        <v>6400</v>
      </c>
      <c r="B68" s="47">
        <v>0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 s="25">
        <v>0</v>
      </c>
    </row>
    <row r="69" spans="1:17" x14ac:dyDescent="0.35">
      <c r="A69">
        <v>6600</v>
      </c>
      <c r="B69" s="47">
        <v>2</v>
      </c>
      <c r="C69">
        <v>2</v>
      </c>
      <c r="D69">
        <v>2</v>
      </c>
      <c r="E69">
        <v>2</v>
      </c>
      <c r="F69">
        <v>2</v>
      </c>
      <c r="G69">
        <v>2</v>
      </c>
      <c r="H69">
        <v>2</v>
      </c>
      <c r="I69">
        <v>2</v>
      </c>
      <c r="J69">
        <v>2</v>
      </c>
      <c r="K69">
        <v>2</v>
      </c>
      <c r="L69">
        <v>2</v>
      </c>
      <c r="M69">
        <v>2</v>
      </c>
      <c r="N69">
        <v>2</v>
      </c>
      <c r="O69">
        <v>2</v>
      </c>
      <c r="P69">
        <v>2</v>
      </c>
      <c r="Q69" s="25">
        <v>2</v>
      </c>
    </row>
    <row r="70" spans="1:17" x14ac:dyDescent="0.35">
      <c r="A70">
        <v>6800</v>
      </c>
      <c r="B70" s="47">
        <v>2</v>
      </c>
      <c r="C70">
        <v>2</v>
      </c>
      <c r="D70">
        <v>2</v>
      </c>
      <c r="E70">
        <v>2</v>
      </c>
      <c r="F70">
        <v>2</v>
      </c>
      <c r="G70">
        <v>2</v>
      </c>
      <c r="H70">
        <v>2</v>
      </c>
      <c r="I70">
        <v>2</v>
      </c>
      <c r="J70">
        <v>2</v>
      </c>
      <c r="K70">
        <v>2</v>
      </c>
      <c r="L70">
        <v>2</v>
      </c>
      <c r="M70">
        <v>2</v>
      </c>
      <c r="N70">
        <v>2</v>
      </c>
      <c r="O70">
        <v>2</v>
      </c>
      <c r="P70">
        <v>2</v>
      </c>
      <c r="Q70" s="25">
        <v>2</v>
      </c>
    </row>
    <row r="71" spans="1:17" x14ac:dyDescent="0.35">
      <c r="A71">
        <v>7000</v>
      </c>
      <c r="B71" s="63">
        <v>1</v>
      </c>
      <c r="C71" s="34">
        <v>1</v>
      </c>
      <c r="D71" s="34">
        <v>1</v>
      </c>
      <c r="E71" s="34">
        <v>1</v>
      </c>
      <c r="F71" s="34">
        <v>1</v>
      </c>
      <c r="G71" s="34">
        <v>1</v>
      </c>
      <c r="H71" s="34">
        <v>1</v>
      </c>
      <c r="I71" s="34">
        <v>1</v>
      </c>
      <c r="J71" s="34">
        <v>1</v>
      </c>
      <c r="K71" s="34">
        <v>1</v>
      </c>
      <c r="L71" s="34">
        <v>1</v>
      </c>
      <c r="M71" s="34">
        <v>1</v>
      </c>
      <c r="N71" s="34">
        <v>1</v>
      </c>
      <c r="O71" s="34">
        <v>1</v>
      </c>
      <c r="P71" s="34">
        <v>1</v>
      </c>
      <c r="Q71" s="27">
        <v>1</v>
      </c>
    </row>
    <row r="73" spans="1:17" x14ac:dyDescent="0.35">
      <c r="A73" s="43" t="s">
        <v>75</v>
      </c>
      <c r="B73" s="37">
        <v>0</v>
      </c>
      <c r="C73" s="37">
        <v>200</v>
      </c>
      <c r="D73" s="37">
        <v>400</v>
      </c>
      <c r="E73" s="37">
        <v>600</v>
      </c>
      <c r="F73" s="37">
        <v>800</v>
      </c>
      <c r="G73" s="37">
        <v>1000</v>
      </c>
      <c r="H73" s="37">
        <v>1200</v>
      </c>
      <c r="I73" s="37">
        <v>1400</v>
      </c>
      <c r="J73" s="37">
        <v>1600</v>
      </c>
      <c r="K73" s="37">
        <v>1800</v>
      </c>
      <c r="L73" s="37">
        <v>2000</v>
      </c>
      <c r="M73" s="37">
        <v>2200</v>
      </c>
      <c r="N73" s="37">
        <v>2400</v>
      </c>
      <c r="O73" s="37">
        <v>2600</v>
      </c>
      <c r="P73" s="37">
        <v>2800</v>
      </c>
      <c r="Q73" s="37">
        <v>3000</v>
      </c>
    </row>
    <row r="74" spans="1:17" x14ac:dyDescent="0.35">
      <c r="A74">
        <v>3000</v>
      </c>
      <c r="B74" s="62">
        <v>185</v>
      </c>
      <c r="C74" s="33">
        <v>185</v>
      </c>
      <c r="D74" s="33">
        <v>185</v>
      </c>
      <c r="E74" s="33">
        <v>185</v>
      </c>
      <c r="F74" s="33">
        <v>185</v>
      </c>
      <c r="G74" s="33">
        <v>185</v>
      </c>
      <c r="H74" s="33">
        <v>185</v>
      </c>
      <c r="I74" s="33">
        <v>185</v>
      </c>
      <c r="J74" s="33">
        <v>185</v>
      </c>
      <c r="K74" s="33">
        <v>185</v>
      </c>
      <c r="L74" s="33">
        <v>185</v>
      </c>
      <c r="M74" s="33">
        <v>185</v>
      </c>
      <c r="N74" s="33">
        <v>185</v>
      </c>
      <c r="O74" s="33">
        <v>185</v>
      </c>
      <c r="P74" s="33">
        <v>185</v>
      </c>
      <c r="Q74" s="23">
        <v>185</v>
      </c>
    </row>
    <row r="75" spans="1:17" x14ac:dyDescent="0.35">
      <c r="A75">
        <v>3200</v>
      </c>
      <c r="B75" s="47">
        <v>197</v>
      </c>
      <c r="C75">
        <v>197</v>
      </c>
      <c r="D75">
        <v>197</v>
      </c>
      <c r="E75">
        <v>197</v>
      </c>
      <c r="F75">
        <v>197</v>
      </c>
      <c r="G75">
        <v>197</v>
      </c>
      <c r="H75">
        <v>197</v>
      </c>
      <c r="I75">
        <v>197</v>
      </c>
      <c r="J75">
        <v>197</v>
      </c>
      <c r="K75">
        <v>197</v>
      </c>
      <c r="L75">
        <v>197</v>
      </c>
      <c r="M75">
        <v>197</v>
      </c>
      <c r="N75">
        <v>197</v>
      </c>
      <c r="O75">
        <v>197</v>
      </c>
      <c r="P75">
        <v>197</v>
      </c>
      <c r="Q75" s="25">
        <v>197</v>
      </c>
    </row>
    <row r="76" spans="1:17" x14ac:dyDescent="0.35">
      <c r="A76">
        <v>3400</v>
      </c>
      <c r="B76" s="47">
        <v>210</v>
      </c>
      <c r="C76">
        <v>210</v>
      </c>
      <c r="D76">
        <v>210</v>
      </c>
      <c r="E76">
        <v>210</v>
      </c>
      <c r="F76">
        <v>210</v>
      </c>
      <c r="G76">
        <v>210</v>
      </c>
      <c r="H76">
        <v>210</v>
      </c>
      <c r="I76">
        <v>210</v>
      </c>
      <c r="J76">
        <v>210</v>
      </c>
      <c r="K76">
        <v>210</v>
      </c>
      <c r="L76">
        <v>210</v>
      </c>
      <c r="M76">
        <v>210</v>
      </c>
      <c r="N76">
        <v>210</v>
      </c>
      <c r="O76">
        <v>210</v>
      </c>
      <c r="P76">
        <v>210</v>
      </c>
      <c r="Q76" s="25">
        <v>210</v>
      </c>
    </row>
    <row r="77" spans="1:17" x14ac:dyDescent="0.35">
      <c r="A77">
        <v>3600</v>
      </c>
      <c r="B77" s="47">
        <v>220</v>
      </c>
      <c r="C77">
        <v>220</v>
      </c>
      <c r="D77">
        <v>220</v>
      </c>
      <c r="E77">
        <v>220</v>
      </c>
      <c r="F77">
        <v>220</v>
      </c>
      <c r="G77">
        <v>220</v>
      </c>
      <c r="H77">
        <v>220</v>
      </c>
      <c r="I77">
        <v>220</v>
      </c>
      <c r="J77">
        <v>220</v>
      </c>
      <c r="K77">
        <v>220</v>
      </c>
      <c r="L77">
        <v>220</v>
      </c>
      <c r="M77">
        <v>220</v>
      </c>
      <c r="N77">
        <v>220</v>
      </c>
      <c r="O77">
        <v>220</v>
      </c>
      <c r="P77">
        <v>220</v>
      </c>
      <c r="Q77" s="25">
        <v>220</v>
      </c>
    </row>
    <row r="78" spans="1:17" x14ac:dyDescent="0.35">
      <c r="A78">
        <v>3800</v>
      </c>
      <c r="B78" s="47">
        <v>235</v>
      </c>
      <c r="C78">
        <v>235</v>
      </c>
      <c r="D78">
        <v>235</v>
      </c>
      <c r="E78">
        <v>235</v>
      </c>
      <c r="F78">
        <v>235</v>
      </c>
      <c r="G78">
        <v>235</v>
      </c>
      <c r="H78">
        <v>235</v>
      </c>
      <c r="I78">
        <v>235</v>
      </c>
      <c r="J78">
        <v>235</v>
      </c>
      <c r="K78">
        <v>235</v>
      </c>
      <c r="L78">
        <v>235</v>
      </c>
      <c r="M78">
        <v>235</v>
      </c>
      <c r="N78">
        <v>235</v>
      </c>
      <c r="O78">
        <v>235</v>
      </c>
      <c r="P78">
        <v>235</v>
      </c>
      <c r="Q78" s="25">
        <v>235</v>
      </c>
    </row>
    <row r="79" spans="1:17" x14ac:dyDescent="0.35">
      <c r="A79">
        <v>4000</v>
      </c>
      <c r="B79" s="47">
        <v>247</v>
      </c>
      <c r="C79">
        <v>247</v>
      </c>
      <c r="D79">
        <v>247</v>
      </c>
      <c r="E79">
        <v>247</v>
      </c>
      <c r="F79">
        <v>247</v>
      </c>
      <c r="G79">
        <v>247</v>
      </c>
      <c r="H79">
        <v>247</v>
      </c>
      <c r="I79">
        <v>247</v>
      </c>
      <c r="J79">
        <v>247</v>
      </c>
      <c r="K79">
        <v>247</v>
      </c>
      <c r="L79">
        <v>247</v>
      </c>
      <c r="M79">
        <v>247</v>
      </c>
      <c r="N79">
        <v>247</v>
      </c>
      <c r="O79">
        <v>247</v>
      </c>
      <c r="P79">
        <v>247</v>
      </c>
      <c r="Q79" s="25">
        <v>247</v>
      </c>
    </row>
    <row r="80" spans="1:17" x14ac:dyDescent="0.35">
      <c r="A80">
        <v>4200</v>
      </c>
      <c r="B80" s="47">
        <v>259</v>
      </c>
      <c r="C80">
        <v>259</v>
      </c>
      <c r="D80">
        <v>259</v>
      </c>
      <c r="E80">
        <v>259</v>
      </c>
      <c r="F80">
        <v>259</v>
      </c>
      <c r="G80">
        <v>259</v>
      </c>
      <c r="H80">
        <v>259</v>
      </c>
      <c r="I80">
        <v>259</v>
      </c>
      <c r="J80">
        <v>259</v>
      </c>
      <c r="K80">
        <v>259</v>
      </c>
      <c r="L80">
        <v>259</v>
      </c>
      <c r="M80">
        <v>259</v>
      </c>
      <c r="N80">
        <v>259</v>
      </c>
      <c r="O80">
        <v>259</v>
      </c>
      <c r="P80">
        <v>259</v>
      </c>
      <c r="Q80" s="25">
        <v>259</v>
      </c>
    </row>
    <row r="81" spans="1:17" x14ac:dyDescent="0.35">
      <c r="A81">
        <v>4400</v>
      </c>
      <c r="B81" s="47">
        <v>270</v>
      </c>
      <c r="C81">
        <v>270</v>
      </c>
      <c r="D81">
        <v>270</v>
      </c>
      <c r="E81">
        <v>270</v>
      </c>
      <c r="F81">
        <v>270</v>
      </c>
      <c r="G81">
        <v>270</v>
      </c>
      <c r="H81">
        <v>270</v>
      </c>
      <c r="I81">
        <v>270</v>
      </c>
      <c r="J81">
        <v>270</v>
      </c>
      <c r="K81">
        <v>270</v>
      </c>
      <c r="L81">
        <v>270</v>
      </c>
      <c r="M81">
        <v>270</v>
      </c>
      <c r="N81">
        <v>270</v>
      </c>
      <c r="O81">
        <v>270</v>
      </c>
      <c r="P81">
        <v>270</v>
      </c>
      <c r="Q81" s="25">
        <v>270</v>
      </c>
    </row>
    <row r="82" spans="1:17" x14ac:dyDescent="0.35">
      <c r="A82">
        <v>4600</v>
      </c>
      <c r="B82" s="47">
        <v>284</v>
      </c>
      <c r="C82">
        <v>284</v>
      </c>
      <c r="D82">
        <v>284</v>
      </c>
      <c r="E82">
        <v>284</v>
      </c>
      <c r="F82">
        <v>284</v>
      </c>
      <c r="G82">
        <v>284</v>
      </c>
      <c r="H82">
        <v>284</v>
      </c>
      <c r="I82">
        <v>284</v>
      </c>
      <c r="J82">
        <v>284</v>
      </c>
      <c r="K82">
        <v>284</v>
      </c>
      <c r="L82">
        <v>284</v>
      </c>
      <c r="M82">
        <v>284</v>
      </c>
      <c r="N82">
        <v>284</v>
      </c>
      <c r="O82">
        <v>284</v>
      </c>
      <c r="P82">
        <v>284</v>
      </c>
      <c r="Q82" s="25">
        <v>284</v>
      </c>
    </row>
    <row r="83" spans="1:17" x14ac:dyDescent="0.35">
      <c r="A83">
        <v>4800</v>
      </c>
      <c r="B83" s="47">
        <v>296</v>
      </c>
      <c r="C83">
        <v>296</v>
      </c>
      <c r="D83">
        <v>296</v>
      </c>
      <c r="E83">
        <v>296</v>
      </c>
      <c r="F83">
        <v>296</v>
      </c>
      <c r="G83">
        <v>296</v>
      </c>
      <c r="H83">
        <v>296</v>
      </c>
      <c r="I83">
        <v>296</v>
      </c>
      <c r="J83">
        <v>296</v>
      </c>
      <c r="K83">
        <v>296</v>
      </c>
      <c r="L83">
        <v>296</v>
      </c>
      <c r="M83">
        <v>296</v>
      </c>
      <c r="N83">
        <v>296</v>
      </c>
      <c r="O83">
        <v>296</v>
      </c>
      <c r="P83">
        <v>296</v>
      </c>
      <c r="Q83" s="25">
        <v>296</v>
      </c>
    </row>
    <row r="84" spans="1:17" x14ac:dyDescent="0.35">
      <c r="A84">
        <v>5000</v>
      </c>
      <c r="B84" s="47">
        <v>308</v>
      </c>
      <c r="C84">
        <v>308</v>
      </c>
      <c r="D84">
        <v>308</v>
      </c>
      <c r="E84">
        <v>308</v>
      </c>
      <c r="F84">
        <v>308</v>
      </c>
      <c r="G84">
        <v>308</v>
      </c>
      <c r="H84">
        <v>308</v>
      </c>
      <c r="I84">
        <v>308</v>
      </c>
      <c r="J84">
        <v>308</v>
      </c>
      <c r="K84">
        <v>308</v>
      </c>
      <c r="L84">
        <v>308</v>
      </c>
      <c r="M84">
        <v>308</v>
      </c>
      <c r="N84">
        <v>308</v>
      </c>
      <c r="O84">
        <v>308</v>
      </c>
      <c r="P84">
        <v>308</v>
      </c>
      <c r="Q84" s="25">
        <v>308</v>
      </c>
    </row>
    <row r="85" spans="1:17" x14ac:dyDescent="0.35">
      <c r="A85">
        <v>5200</v>
      </c>
      <c r="B85" s="47">
        <v>320</v>
      </c>
      <c r="C85">
        <v>320</v>
      </c>
      <c r="D85">
        <v>320</v>
      </c>
      <c r="E85">
        <v>320</v>
      </c>
      <c r="F85">
        <v>320</v>
      </c>
      <c r="G85">
        <v>320</v>
      </c>
      <c r="H85">
        <v>320</v>
      </c>
      <c r="I85">
        <v>320</v>
      </c>
      <c r="J85">
        <v>320</v>
      </c>
      <c r="K85">
        <v>320</v>
      </c>
      <c r="L85">
        <v>320</v>
      </c>
      <c r="M85">
        <v>320</v>
      </c>
      <c r="N85">
        <v>320</v>
      </c>
      <c r="O85">
        <v>320</v>
      </c>
      <c r="P85">
        <v>320</v>
      </c>
      <c r="Q85" s="25">
        <v>320</v>
      </c>
    </row>
    <row r="86" spans="1:17" x14ac:dyDescent="0.35">
      <c r="A86">
        <v>5400</v>
      </c>
      <c r="B86" s="47">
        <v>330</v>
      </c>
      <c r="C86">
        <v>330</v>
      </c>
      <c r="D86">
        <v>330</v>
      </c>
      <c r="E86">
        <v>330</v>
      </c>
      <c r="F86">
        <v>330</v>
      </c>
      <c r="G86">
        <v>330</v>
      </c>
      <c r="H86">
        <v>330</v>
      </c>
      <c r="I86">
        <v>330</v>
      </c>
      <c r="J86">
        <v>330</v>
      </c>
      <c r="K86">
        <v>330</v>
      </c>
      <c r="L86">
        <v>330</v>
      </c>
      <c r="M86">
        <v>330</v>
      </c>
      <c r="N86">
        <v>330</v>
      </c>
      <c r="O86">
        <v>330</v>
      </c>
      <c r="P86">
        <v>330</v>
      </c>
      <c r="Q86" s="25">
        <v>330</v>
      </c>
    </row>
    <row r="87" spans="1:17" x14ac:dyDescent="0.35">
      <c r="A87">
        <v>5600</v>
      </c>
      <c r="B87" s="47">
        <v>346</v>
      </c>
      <c r="C87">
        <v>346</v>
      </c>
      <c r="D87">
        <v>346</v>
      </c>
      <c r="E87">
        <v>346</v>
      </c>
      <c r="F87">
        <v>346</v>
      </c>
      <c r="G87">
        <v>346</v>
      </c>
      <c r="H87">
        <v>346</v>
      </c>
      <c r="I87">
        <v>346</v>
      </c>
      <c r="J87">
        <v>346</v>
      </c>
      <c r="K87">
        <v>346</v>
      </c>
      <c r="L87">
        <v>346</v>
      </c>
      <c r="M87">
        <v>346</v>
      </c>
      <c r="N87">
        <v>346</v>
      </c>
      <c r="O87">
        <v>346</v>
      </c>
      <c r="P87">
        <v>346</v>
      </c>
      <c r="Q87" s="25">
        <v>346</v>
      </c>
    </row>
    <row r="88" spans="1:17" x14ac:dyDescent="0.35">
      <c r="A88">
        <v>5800</v>
      </c>
      <c r="B88" s="47">
        <v>358</v>
      </c>
      <c r="C88">
        <v>358</v>
      </c>
      <c r="D88">
        <v>358</v>
      </c>
      <c r="E88">
        <v>358</v>
      </c>
      <c r="F88">
        <v>358</v>
      </c>
      <c r="G88">
        <v>358</v>
      </c>
      <c r="H88">
        <v>358</v>
      </c>
      <c r="I88">
        <v>358</v>
      </c>
      <c r="J88">
        <v>358</v>
      </c>
      <c r="K88">
        <v>358</v>
      </c>
      <c r="L88">
        <v>358</v>
      </c>
      <c r="M88">
        <v>358</v>
      </c>
      <c r="N88">
        <v>358</v>
      </c>
      <c r="O88">
        <v>358</v>
      </c>
      <c r="P88">
        <v>358</v>
      </c>
      <c r="Q88" s="25">
        <v>358</v>
      </c>
    </row>
    <row r="89" spans="1:17" x14ac:dyDescent="0.35">
      <c r="A89">
        <v>6000</v>
      </c>
      <c r="B89" s="47">
        <v>370</v>
      </c>
      <c r="C89">
        <v>370</v>
      </c>
      <c r="D89">
        <v>370</v>
      </c>
      <c r="E89">
        <v>370</v>
      </c>
      <c r="F89">
        <v>370</v>
      </c>
      <c r="G89">
        <v>370</v>
      </c>
      <c r="H89">
        <v>370</v>
      </c>
      <c r="I89">
        <v>370</v>
      </c>
      <c r="J89">
        <v>370</v>
      </c>
      <c r="K89">
        <v>370</v>
      </c>
      <c r="L89">
        <v>370</v>
      </c>
      <c r="M89">
        <v>370</v>
      </c>
      <c r="N89">
        <v>370</v>
      </c>
      <c r="O89">
        <v>370</v>
      </c>
      <c r="P89">
        <v>370</v>
      </c>
      <c r="Q89" s="25">
        <v>370</v>
      </c>
    </row>
    <row r="90" spans="1:17" x14ac:dyDescent="0.35">
      <c r="A90">
        <v>6200</v>
      </c>
      <c r="B90" s="47">
        <v>383</v>
      </c>
      <c r="C90">
        <v>383</v>
      </c>
      <c r="D90">
        <v>383</v>
      </c>
      <c r="E90">
        <v>383</v>
      </c>
      <c r="F90">
        <v>383</v>
      </c>
      <c r="G90">
        <v>383</v>
      </c>
      <c r="H90">
        <v>383</v>
      </c>
      <c r="I90">
        <v>383</v>
      </c>
      <c r="J90">
        <v>383</v>
      </c>
      <c r="K90">
        <v>383</v>
      </c>
      <c r="L90">
        <v>383</v>
      </c>
      <c r="M90">
        <v>383</v>
      </c>
      <c r="N90">
        <v>383</v>
      </c>
      <c r="O90">
        <v>383</v>
      </c>
      <c r="P90">
        <v>383</v>
      </c>
      <c r="Q90" s="25">
        <v>383</v>
      </c>
    </row>
    <row r="91" spans="1:17" x14ac:dyDescent="0.35">
      <c r="A91">
        <v>6400</v>
      </c>
      <c r="B91" s="47">
        <v>395</v>
      </c>
      <c r="C91">
        <v>395</v>
      </c>
      <c r="D91">
        <v>395</v>
      </c>
      <c r="E91">
        <v>395</v>
      </c>
      <c r="F91">
        <v>395</v>
      </c>
      <c r="G91">
        <v>395</v>
      </c>
      <c r="H91">
        <v>395</v>
      </c>
      <c r="I91">
        <v>395</v>
      </c>
      <c r="J91">
        <v>395</v>
      </c>
      <c r="K91">
        <v>395</v>
      </c>
      <c r="L91">
        <v>395</v>
      </c>
      <c r="M91">
        <v>395</v>
      </c>
      <c r="N91">
        <v>395</v>
      </c>
      <c r="O91">
        <v>395</v>
      </c>
      <c r="P91">
        <v>395</v>
      </c>
      <c r="Q91" s="25">
        <v>395</v>
      </c>
    </row>
    <row r="92" spans="1:17" x14ac:dyDescent="0.35">
      <c r="A92">
        <v>6600</v>
      </c>
      <c r="B92" s="47">
        <v>407</v>
      </c>
      <c r="C92">
        <v>407</v>
      </c>
      <c r="D92">
        <v>407</v>
      </c>
      <c r="E92">
        <v>407</v>
      </c>
      <c r="F92">
        <v>407</v>
      </c>
      <c r="G92">
        <v>407</v>
      </c>
      <c r="H92">
        <v>407</v>
      </c>
      <c r="I92">
        <v>407</v>
      </c>
      <c r="J92">
        <v>407</v>
      </c>
      <c r="K92">
        <v>407</v>
      </c>
      <c r="L92">
        <v>407</v>
      </c>
      <c r="M92">
        <v>407</v>
      </c>
      <c r="N92">
        <v>407</v>
      </c>
      <c r="O92">
        <v>407</v>
      </c>
      <c r="P92">
        <v>407</v>
      </c>
      <c r="Q92" s="25">
        <v>407</v>
      </c>
    </row>
    <row r="93" spans="1:17" x14ac:dyDescent="0.35">
      <c r="A93">
        <v>6800</v>
      </c>
      <c r="B93" s="47">
        <v>419</v>
      </c>
      <c r="C93">
        <v>419</v>
      </c>
      <c r="D93">
        <v>419</v>
      </c>
      <c r="E93">
        <v>419</v>
      </c>
      <c r="F93">
        <v>419</v>
      </c>
      <c r="G93">
        <v>419</v>
      </c>
      <c r="H93">
        <v>419</v>
      </c>
      <c r="I93">
        <v>419</v>
      </c>
      <c r="J93">
        <v>419</v>
      </c>
      <c r="K93">
        <v>419</v>
      </c>
      <c r="L93">
        <v>419</v>
      </c>
      <c r="M93">
        <v>419</v>
      </c>
      <c r="N93">
        <v>419</v>
      </c>
      <c r="O93">
        <v>419</v>
      </c>
      <c r="P93">
        <v>419</v>
      </c>
      <c r="Q93" s="25">
        <v>419</v>
      </c>
    </row>
    <row r="94" spans="1:17" x14ac:dyDescent="0.35">
      <c r="A94">
        <v>7000</v>
      </c>
      <c r="B94" s="63">
        <v>432</v>
      </c>
      <c r="C94" s="34">
        <v>432</v>
      </c>
      <c r="D94" s="34">
        <v>432</v>
      </c>
      <c r="E94" s="34">
        <v>432</v>
      </c>
      <c r="F94" s="34">
        <v>432</v>
      </c>
      <c r="G94" s="34">
        <v>432</v>
      </c>
      <c r="H94" s="34">
        <v>432</v>
      </c>
      <c r="I94" s="34">
        <v>432</v>
      </c>
      <c r="J94" s="34">
        <v>432</v>
      </c>
      <c r="K94" s="34">
        <v>432</v>
      </c>
      <c r="L94" s="34">
        <v>432</v>
      </c>
      <c r="M94" s="34">
        <v>432</v>
      </c>
      <c r="N94" s="34">
        <v>432</v>
      </c>
      <c r="O94" s="34">
        <v>432</v>
      </c>
      <c r="P94" s="34">
        <v>432</v>
      </c>
      <c r="Q94" s="27">
        <v>432</v>
      </c>
    </row>
    <row r="96" spans="1:17" x14ac:dyDescent="0.35">
      <c r="A96" s="43" t="s">
        <v>82</v>
      </c>
      <c r="B96" s="37">
        <v>0</v>
      </c>
      <c r="C96" s="37">
        <v>200</v>
      </c>
      <c r="D96" s="37">
        <v>400</v>
      </c>
      <c r="E96" s="37">
        <v>600</v>
      </c>
      <c r="F96" s="37">
        <v>800</v>
      </c>
      <c r="G96" s="37">
        <v>1000</v>
      </c>
      <c r="H96" s="37">
        <v>1200</v>
      </c>
      <c r="I96" s="37">
        <v>1400</v>
      </c>
      <c r="J96" s="37">
        <v>1600</v>
      </c>
      <c r="K96" s="37">
        <v>1800</v>
      </c>
      <c r="L96" s="37">
        <v>2000</v>
      </c>
      <c r="M96" s="37">
        <v>2200</v>
      </c>
      <c r="N96" s="37">
        <v>2400</v>
      </c>
      <c r="O96" s="37">
        <v>2600</v>
      </c>
      <c r="P96" s="37">
        <v>2800</v>
      </c>
      <c r="Q96" s="37">
        <v>3000</v>
      </c>
    </row>
    <row r="97" spans="1:17" x14ac:dyDescent="0.35">
      <c r="A97">
        <v>3000</v>
      </c>
      <c r="B97" s="22">
        <v>40797.300000000003</v>
      </c>
      <c r="C97" s="64">
        <v>40797.300000000003</v>
      </c>
      <c r="D97" s="64">
        <v>40797.300000000003</v>
      </c>
      <c r="E97" s="64">
        <v>40797.300000000003</v>
      </c>
      <c r="F97" s="64">
        <v>40797.300000000003</v>
      </c>
      <c r="G97" s="64">
        <v>40797.300000000003</v>
      </c>
      <c r="H97" s="64">
        <v>40797.300000000003</v>
      </c>
      <c r="I97" s="64">
        <v>40797.300000000003</v>
      </c>
      <c r="J97" s="64">
        <v>40797.300000000003</v>
      </c>
      <c r="K97" s="64">
        <v>40797.300000000003</v>
      </c>
      <c r="L97" s="64">
        <v>40797.300000000003</v>
      </c>
      <c r="M97" s="64">
        <v>40797.300000000003</v>
      </c>
      <c r="N97" s="64">
        <v>40797.300000000003</v>
      </c>
      <c r="O97" s="64">
        <v>40797.300000000003</v>
      </c>
      <c r="P97" s="64">
        <v>40797.300000000003</v>
      </c>
      <c r="Q97" s="59">
        <v>40797.300000000003</v>
      </c>
    </row>
    <row r="98" spans="1:17" x14ac:dyDescent="0.35">
      <c r="A98">
        <v>3200</v>
      </c>
      <c r="B98" s="24">
        <v>43519</v>
      </c>
      <c r="C98" s="41">
        <v>43519</v>
      </c>
      <c r="D98" s="41">
        <v>43519</v>
      </c>
      <c r="E98" s="41">
        <v>43519</v>
      </c>
      <c r="F98" s="41">
        <v>43519</v>
      </c>
      <c r="G98" s="41">
        <v>43519</v>
      </c>
      <c r="H98" s="41">
        <v>43519</v>
      </c>
      <c r="I98" s="41">
        <v>43519</v>
      </c>
      <c r="J98" s="41">
        <v>43519</v>
      </c>
      <c r="K98" s="41">
        <v>43519</v>
      </c>
      <c r="L98" s="41">
        <v>43519</v>
      </c>
      <c r="M98" s="41">
        <v>43519</v>
      </c>
      <c r="N98" s="41">
        <v>43519</v>
      </c>
      <c r="O98" s="41">
        <v>43519</v>
      </c>
      <c r="P98" s="41">
        <v>43519</v>
      </c>
      <c r="Q98" s="56">
        <v>43519</v>
      </c>
    </row>
    <row r="99" spans="1:17" x14ac:dyDescent="0.35">
      <c r="A99">
        <v>3400</v>
      </c>
      <c r="B99" s="24">
        <v>46237.4</v>
      </c>
      <c r="C99" s="41">
        <v>46237.4</v>
      </c>
      <c r="D99" s="41">
        <v>46237.4</v>
      </c>
      <c r="E99" s="41">
        <v>46237.4</v>
      </c>
      <c r="F99" s="41">
        <v>46237.4</v>
      </c>
      <c r="G99" s="41">
        <v>46237.4</v>
      </c>
      <c r="H99" s="41">
        <v>46237.4</v>
      </c>
      <c r="I99" s="41">
        <v>46237.4</v>
      </c>
      <c r="J99" s="41">
        <v>46237.4</v>
      </c>
      <c r="K99" s="41">
        <v>46237.4</v>
      </c>
      <c r="L99" s="41">
        <v>46237.4</v>
      </c>
      <c r="M99" s="41">
        <v>46237.4</v>
      </c>
      <c r="N99" s="41">
        <v>46237.4</v>
      </c>
      <c r="O99" s="41">
        <v>46237.4</v>
      </c>
      <c r="P99" s="41">
        <v>46237.4</v>
      </c>
      <c r="Q99" s="56">
        <v>46237.4</v>
      </c>
    </row>
    <row r="100" spans="1:17" x14ac:dyDescent="0.35">
      <c r="A100">
        <v>3600</v>
      </c>
      <c r="B100" s="24">
        <v>48957.4</v>
      </c>
      <c r="C100" s="41">
        <v>48957.4</v>
      </c>
      <c r="D100" s="41">
        <v>48957.4</v>
      </c>
      <c r="E100" s="41">
        <v>48957.4</v>
      </c>
      <c r="F100" s="41">
        <v>48957.4</v>
      </c>
      <c r="G100" s="41">
        <v>48957.4</v>
      </c>
      <c r="H100" s="41">
        <v>48957.4</v>
      </c>
      <c r="I100" s="41">
        <v>48957.4</v>
      </c>
      <c r="J100" s="41">
        <v>48957.4</v>
      </c>
      <c r="K100" s="41">
        <v>48957.4</v>
      </c>
      <c r="L100" s="41">
        <v>48957.4</v>
      </c>
      <c r="M100" s="41">
        <v>48957.4</v>
      </c>
      <c r="N100" s="41">
        <v>48957.4</v>
      </c>
      <c r="O100" s="41">
        <v>48957.4</v>
      </c>
      <c r="P100" s="41">
        <v>48957.4</v>
      </c>
      <c r="Q100" s="56">
        <v>48957.4</v>
      </c>
    </row>
    <row r="101" spans="1:17" x14ac:dyDescent="0.35">
      <c r="A101">
        <v>3800</v>
      </c>
      <c r="B101" s="24">
        <v>51676.3</v>
      </c>
      <c r="C101" s="41">
        <v>51676.3</v>
      </c>
      <c r="D101" s="41">
        <v>51676.3</v>
      </c>
      <c r="E101" s="41">
        <v>51676.3</v>
      </c>
      <c r="F101" s="41">
        <v>51676.3</v>
      </c>
      <c r="G101" s="41">
        <v>51676.3</v>
      </c>
      <c r="H101" s="41">
        <v>51676.3</v>
      </c>
      <c r="I101" s="41">
        <v>51676.3</v>
      </c>
      <c r="J101" s="41">
        <v>51676.3</v>
      </c>
      <c r="K101" s="41">
        <v>51676.3</v>
      </c>
      <c r="L101" s="41">
        <v>51676.3</v>
      </c>
      <c r="M101" s="41">
        <v>51676.3</v>
      </c>
      <c r="N101" s="41">
        <v>51676.3</v>
      </c>
      <c r="O101" s="41">
        <v>51676.3</v>
      </c>
      <c r="P101" s="41">
        <v>51676.3</v>
      </c>
      <c r="Q101" s="56">
        <v>51676.3</v>
      </c>
    </row>
    <row r="102" spans="1:17" x14ac:dyDescent="0.35">
      <c r="A102">
        <v>4000</v>
      </c>
      <c r="B102" s="24">
        <v>54395.8</v>
      </c>
      <c r="C102" s="41">
        <v>54395.8</v>
      </c>
      <c r="D102" s="41">
        <v>54395.8</v>
      </c>
      <c r="E102" s="41">
        <v>54395.8</v>
      </c>
      <c r="F102" s="41">
        <v>54395.8</v>
      </c>
      <c r="G102" s="41">
        <v>54395.8</v>
      </c>
      <c r="H102" s="41">
        <v>54395.8</v>
      </c>
      <c r="I102" s="41">
        <v>54395.8</v>
      </c>
      <c r="J102" s="41">
        <v>54395.8</v>
      </c>
      <c r="K102" s="41">
        <v>54395.8</v>
      </c>
      <c r="L102" s="41">
        <v>54395.8</v>
      </c>
      <c r="M102" s="41">
        <v>54395.8</v>
      </c>
      <c r="N102" s="41">
        <v>54395.8</v>
      </c>
      <c r="O102" s="41">
        <v>54395.8</v>
      </c>
      <c r="P102" s="41">
        <v>54395.8</v>
      </c>
      <c r="Q102" s="56">
        <v>54395.8</v>
      </c>
    </row>
    <row r="103" spans="1:17" x14ac:dyDescent="0.35">
      <c r="A103">
        <v>4200</v>
      </c>
      <c r="B103" s="24">
        <v>57115.3</v>
      </c>
      <c r="C103" s="41">
        <v>57115.3</v>
      </c>
      <c r="D103" s="41">
        <v>57115.3</v>
      </c>
      <c r="E103" s="41">
        <v>57115.3</v>
      </c>
      <c r="F103" s="41">
        <v>57115.3</v>
      </c>
      <c r="G103" s="41">
        <v>57115.3</v>
      </c>
      <c r="H103" s="41">
        <v>57115.3</v>
      </c>
      <c r="I103" s="41">
        <v>57115.3</v>
      </c>
      <c r="J103" s="41">
        <v>57115.3</v>
      </c>
      <c r="K103" s="41">
        <v>57115.3</v>
      </c>
      <c r="L103" s="41">
        <v>57115.3</v>
      </c>
      <c r="M103" s="41">
        <v>57115.3</v>
      </c>
      <c r="N103" s="41">
        <v>57115.3</v>
      </c>
      <c r="O103" s="41">
        <v>57115.3</v>
      </c>
      <c r="P103" s="41">
        <v>57115.3</v>
      </c>
      <c r="Q103" s="56">
        <v>57115.3</v>
      </c>
    </row>
    <row r="104" spans="1:17" x14ac:dyDescent="0.35">
      <c r="A104">
        <v>4400</v>
      </c>
      <c r="B104" s="24">
        <v>59835.9</v>
      </c>
      <c r="C104" s="41">
        <v>59835.9</v>
      </c>
      <c r="D104" s="41">
        <v>59835.9</v>
      </c>
      <c r="E104" s="41">
        <v>59835.9</v>
      </c>
      <c r="F104" s="41">
        <v>59835.9</v>
      </c>
      <c r="G104" s="41">
        <v>59835.9</v>
      </c>
      <c r="H104" s="41">
        <v>59835.9</v>
      </c>
      <c r="I104" s="41">
        <v>59835.9</v>
      </c>
      <c r="J104" s="41">
        <v>59835.9</v>
      </c>
      <c r="K104" s="41">
        <v>59835.9</v>
      </c>
      <c r="L104" s="41">
        <v>59835.9</v>
      </c>
      <c r="M104" s="41">
        <v>59835.9</v>
      </c>
      <c r="N104" s="41">
        <v>59835.9</v>
      </c>
      <c r="O104" s="41">
        <v>59835.9</v>
      </c>
      <c r="P104" s="41">
        <v>59835.9</v>
      </c>
      <c r="Q104" s="56">
        <v>59835.9</v>
      </c>
    </row>
    <row r="105" spans="1:17" x14ac:dyDescent="0.35">
      <c r="A105">
        <v>4600</v>
      </c>
      <c r="B105" s="24">
        <v>62555.9</v>
      </c>
      <c r="C105" s="41">
        <v>62555.9</v>
      </c>
      <c r="D105" s="41">
        <v>62555.9</v>
      </c>
      <c r="E105" s="41">
        <v>62555.9</v>
      </c>
      <c r="F105" s="41">
        <v>62555.9</v>
      </c>
      <c r="G105" s="41">
        <v>62555.9</v>
      </c>
      <c r="H105" s="41">
        <v>62555.9</v>
      </c>
      <c r="I105" s="41">
        <v>62555.9</v>
      </c>
      <c r="J105" s="41">
        <v>62555.9</v>
      </c>
      <c r="K105" s="41">
        <v>62555.9</v>
      </c>
      <c r="L105" s="41">
        <v>62555.9</v>
      </c>
      <c r="M105" s="41">
        <v>62555.9</v>
      </c>
      <c r="N105" s="41">
        <v>62555.9</v>
      </c>
      <c r="O105" s="41">
        <v>62555.9</v>
      </c>
      <c r="P105" s="41">
        <v>62555.9</v>
      </c>
      <c r="Q105" s="56">
        <v>62555.9</v>
      </c>
    </row>
    <row r="106" spans="1:17" x14ac:dyDescent="0.35">
      <c r="A106">
        <v>4800</v>
      </c>
      <c r="B106" s="24">
        <v>65277.1</v>
      </c>
      <c r="C106" s="41">
        <v>65277.1</v>
      </c>
      <c r="D106" s="41">
        <v>65277.1</v>
      </c>
      <c r="E106" s="41">
        <v>65277.1</v>
      </c>
      <c r="F106" s="41">
        <v>65277.1</v>
      </c>
      <c r="G106" s="41">
        <v>65277.1</v>
      </c>
      <c r="H106" s="41">
        <v>65277.1</v>
      </c>
      <c r="I106" s="41">
        <v>65277.1</v>
      </c>
      <c r="J106" s="41">
        <v>65277.1</v>
      </c>
      <c r="K106" s="41">
        <v>65277.1</v>
      </c>
      <c r="L106" s="41">
        <v>65277.1</v>
      </c>
      <c r="M106" s="41">
        <v>65277.1</v>
      </c>
      <c r="N106" s="41">
        <v>65277.1</v>
      </c>
      <c r="O106" s="41">
        <v>65277.1</v>
      </c>
      <c r="P106" s="41">
        <v>65277.1</v>
      </c>
      <c r="Q106" s="56">
        <v>65277.1</v>
      </c>
    </row>
    <row r="107" spans="1:17" x14ac:dyDescent="0.35">
      <c r="A107">
        <v>5000</v>
      </c>
      <c r="B107" s="24">
        <v>67996.600000000006</v>
      </c>
      <c r="C107" s="41">
        <v>67996.600000000006</v>
      </c>
      <c r="D107" s="41">
        <v>67996.600000000006</v>
      </c>
      <c r="E107" s="41">
        <v>67996.600000000006</v>
      </c>
      <c r="F107" s="41">
        <v>67996.600000000006</v>
      </c>
      <c r="G107" s="41">
        <v>67996.600000000006</v>
      </c>
      <c r="H107" s="41">
        <v>67996.600000000006</v>
      </c>
      <c r="I107" s="41">
        <v>67996.600000000006</v>
      </c>
      <c r="J107" s="41">
        <v>67996.600000000006</v>
      </c>
      <c r="K107" s="41">
        <v>67996.600000000006</v>
      </c>
      <c r="L107" s="41">
        <v>67996.600000000006</v>
      </c>
      <c r="M107" s="41">
        <v>67996.600000000006</v>
      </c>
      <c r="N107" s="41">
        <v>67996.600000000006</v>
      </c>
      <c r="O107" s="41">
        <v>67996.600000000006</v>
      </c>
      <c r="P107" s="41">
        <v>67996.600000000006</v>
      </c>
      <c r="Q107" s="56">
        <v>67996.600000000006</v>
      </c>
    </row>
    <row r="108" spans="1:17" x14ac:dyDescent="0.35">
      <c r="A108">
        <v>5200</v>
      </c>
      <c r="B108" s="24">
        <v>70714.399999999994</v>
      </c>
      <c r="C108" s="41">
        <v>70714.399999999994</v>
      </c>
      <c r="D108" s="41">
        <v>70714.399999999994</v>
      </c>
      <c r="E108" s="41">
        <v>70714.399999999994</v>
      </c>
      <c r="F108" s="41">
        <v>70714.399999999994</v>
      </c>
      <c r="G108" s="41">
        <v>70714.399999999994</v>
      </c>
      <c r="H108" s="41">
        <v>70714.399999999994</v>
      </c>
      <c r="I108" s="41">
        <v>70714.399999999994</v>
      </c>
      <c r="J108" s="41">
        <v>70714.399999999994</v>
      </c>
      <c r="K108" s="41">
        <v>70714.399999999994</v>
      </c>
      <c r="L108" s="41">
        <v>70714.399999999994</v>
      </c>
      <c r="M108" s="41">
        <v>70714.399999999994</v>
      </c>
      <c r="N108" s="41">
        <v>70714.399999999994</v>
      </c>
      <c r="O108" s="41">
        <v>70714.399999999994</v>
      </c>
      <c r="P108" s="41">
        <v>70714.399999999994</v>
      </c>
      <c r="Q108" s="56">
        <v>70714.399999999994</v>
      </c>
    </row>
    <row r="109" spans="1:17" x14ac:dyDescent="0.35">
      <c r="A109">
        <v>5400</v>
      </c>
      <c r="B109" s="24">
        <v>73436.100000000006</v>
      </c>
      <c r="C109" s="41">
        <v>73436.100000000006</v>
      </c>
      <c r="D109" s="41">
        <v>73436.100000000006</v>
      </c>
      <c r="E109" s="41">
        <v>73436.100000000006</v>
      </c>
      <c r="F109" s="41">
        <v>73436.100000000006</v>
      </c>
      <c r="G109" s="41">
        <v>73436.100000000006</v>
      </c>
      <c r="H109" s="41">
        <v>73436.100000000006</v>
      </c>
      <c r="I109" s="41">
        <v>73436.100000000006</v>
      </c>
      <c r="J109" s="41">
        <v>73436.100000000006</v>
      </c>
      <c r="K109" s="41">
        <v>73436.100000000006</v>
      </c>
      <c r="L109" s="41">
        <v>73436.100000000006</v>
      </c>
      <c r="M109" s="41">
        <v>73436.100000000006</v>
      </c>
      <c r="N109" s="41">
        <v>73436.100000000006</v>
      </c>
      <c r="O109" s="41">
        <v>73436.100000000006</v>
      </c>
      <c r="P109" s="41">
        <v>73436.100000000006</v>
      </c>
      <c r="Q109" s="56">
        <v>73436.100000000006</v>
      </c>
    </row>
    <row r="110" spans="1:17" x14ac:dyDescent="0.35">
      <c r="A110">
        <v>5600</v>
      </c>
      <c r="B110" s="24">
        <v>76153.899999999994</v>
      </c>
      <c r="C110" s="41">
        <v>76153.899999999994</v>
      </c>
      <c r="D110" s="41">
        <v>76153.899999999994</v>
      </c>
      <c r="E110" s="41">
        <v>76153.899999999994</v>
      </c>
      <c r="F110" s="41">
        <v>76153.899999999994</v>
      </c>
      <c r="G110" s="41">
        <v>76153.899999999994</v>
      </c>
      <c r="H110" s="41">
        <v>76153.899999999994</v>
      </c>
      <c r="I110" s="41">
        <v>76153.899999999994</v>
      </c>
      <c r="J110" s="41">
        <v>76153.899999999994</v>
      </c>
      <c r="K110" s="41">
        <v>76153.899999999994</v>
      </c>
      <c r="L110" s="41">
        <v>76153.899999999994</v>
      </c>
      <c r="M110" s="41">
        <v>76153.899999999994</v>
      </c>
      <c r="N110" s="41">
        <v>76153.899999999994</v>
      </c>
      <c r="O110" s="41">
        <v>76153.899999999994</v>
      </c>
      <c r="P110" s="41">
        <v>76153.899999999994</v>
      </c>
      <c r="Q110" s="56">
        <v>76153.899999999994</v>
      </c>
    </row>
    <row r="111" spans="1:17" x14ac:dyDescent="0.35">
      <c r="A111">
        <v>5800</v>
      </c>
      <c r="B111" s="24">
        <v>78873.399999999994</v>
      </c>
      <c r="C111" s="41">
        <v>78873.399999999994</v>
      </c>
      <c r="D111" s="41">
        <v>78873.399999999994</v>
      </c>
      <c r="E111" s="41">
        <v>78873.399999999994</v>
      </c>
      <c r="F111" s="41">
        <v>78873.399999999994</v>
      </c>
      <c r="G111" s="41">
        <v>78873.399999999994</v>
      </c>
      <c r="H111" s="41">
        <v>78873.399999999994</v>
      </c>
      <c r="I111" s="41">
        <v>78873.399999999994</v>
      </c>
      <c r="J111" s="41">
        <v>78873.399999999994</v>
      </c>
      <c r="K111" s="41">
        <v>78873.399999999994</v>
      </c>
      <c r="L111" s="41">
        <v>78873.399999999994</v>
      </c>
      <c r="M111" s="41">
        <v>78873.399999999994</v>
      </c>
      <c r="N111" s="41">
        <v>78873.399999999994</v>
      </c>
      <c r="O111" s="41">
        <v>78873.399999999994</v>
      </c>
      <c r="P111" s="41">
        <v>78873.399999999994</v>
      </c>
      <c r="Q111" s="56">
        <v>78873.399999999994</v>
      </c>
    </row>
    <row r="112" spans="1:17" x14ac:dyDescent="0.35">
      <c r="A112">
        <v>6000</v>
      </c>
      <c r="B112" s="24">
        <v>81592.899999999994</v>
      </c>
      <c r="C112" s="41">
        <v>81592.899999999994</v>
      </c>
      <c r="D112" s="41">
        <v>81592.899999999994</v>
      </c>
      <c r="E112" s="41">
        <v>81592.899999999994</v>
      </c>
      <c r="F112" s="41">
        <v>81592.899999999994</v>
      </c>
      <c r="G112" s="41">
        <v>81592.899999999994</v>
      </c>
      <c r="H112" s="41">
        <v>81592.899999999994</v>
      </c>
      <c r="I112" s="41">
        <v>81592.899999999994</v>
      </c>
      <c r="J112" s="41">
        <v>81592.899999999994</v>
      </c>
      <c r="K112" s="41">
        <v>81592.899999999994</v>
      </c>
      <c r="L112" s="41">
        <v>81592.899999999994</v>
      </c>
      <c r="M112" s="41">
        <v>81592.899999999994</v>
      </c>
      <c r="N112" s="41">
        <v>81592.899999999994</v>
      </c>
      <c r="O112" s="41">
        <v>81592.899999999994</v>
      </c>
      <c r="P112" s="41">
        <v>81592.899999999994</v>
      </c>
      <c r="Q112" s="56">
        <v>81592.899999999994</v>
      </c>
    </row>
    <row r="113" spans="1:17" x14ac:dyDescent="0.35">
      <c r="A113">
        <v>6200</v>
      </c>
      <c r="B113" s="24">
        <v>84314</v>
      </c>
      <c r="C113" s="41">
        <v>84314</v>
      </c>
      <c r="D113" s="41">
        <v>84314</v>
      </c>
      <c r="E113" s="41">
        <v>84314</v>
      </c>
      <c r="F113" s="41">
        <v>84314</v>
      </c>
      <c r="G113" s="41">
        <v>84314</v>
      </c>
      <c r="H113" s="41">
        <v>84314</v>
      </c>
      <c r="I113" s="41">
        <v>84314</v>
      </c>
      <c r="J113" s="41">
        <v>84314</v>
      </c>
      <c r="K113" s="41">
        <v>84314</v>
      </c>
      <c r="L113" s="41">
        <v>84314</v>
      </c>
      <c r="M113" s="41">
        <v>84314</v>
      </c>
      <c r="N113" s="41">
        <v>84314</v>
      </c>
      <c r="O113" s="41">
        <v>84314</v>
      </c>
      <c r="P113" s="41">
        <v>84314</v>
      </c>
      <c r="Q113" s="56">
        <v>84314</v>
      </c>
    </row>
    <row r="114" spans="1:17" x14ac:dyDescent="0.35">
      <c r="A114">
        <v>6400</v>
      </c>
      <c r="B114" s="24">
        <v>87033.5</v>
      </c>
      <c r="C114" s="41">
        <v>87033.5</v>
      </c>
      <c r="D114" s="41">
        <v>87033.5</v>
      </c>
      <c r="E114" s="41">
        <v>87033.5</v>
      </c>
      <c r="F114" s="41">
        <v>87033.5</v>
      </c>
      <c r="G114" s="41">
        <v>87033.5</v>
      </c>
      <c r="H114" s="41">
        <v>87033.5</v>
      </c>
      <c r="I114" s="41">
        <v>87033.5</v>
      </c>
      <c r="J114" s="41">
        <v>87033.5</v>
      </c>
      <c r="K114" s="41">
        <v>87033.5</v>
      </c>
      <c r="L114" s="41">
        <v>87033.5</v>
      </c>
      <c r="M114" s="41">
        <v>87033.5</v>
      </c>
      <c r="N114" s="41">
        <v>87033.5</v>
      </c>
      <c r="O114" s="41">
        <v>87033.5</v>
      </c>
      <c r="P114" s="41">
        <v>87033.5</v>
      </c>
      <c r="Q114" s="56">
        <v>87033.5</v>
      </c>
    </row>
    <row r="115" spans="1:17" x14ac:dyDescent="0.35">
      <c r="A115">
        <v>6600</v>
      </c>
      <c r="B115" s="24">
        <v>89754.7</v>
      </c>
      <c r="C115" s="41">
        <v>89754.7</v>
      </c>
      <c r="D115" s="41">
        <v>89754.7</v>
      </c>
      <c r="E115" s="41">
        <v>89754.7</v>
      </c>
      <c r="F115" s="41">
        <v>89754.7</v>
      </c>
      <c r="G115" s="41">
        <v>89754.7</v>
      </c>
      <c r="H115" s="41">
        <v>89754.7</v>
      </c>
      <c r="I115" s="41">
        <v>89754.7</v>
      </c>
      <c r="J115" s="41">
        <v>89754.7</v>
      </c>
      <c r="K115" s="41">
        <v>89754.7</v>
      </c>
      <c r="L115" s="41">
        <v>89754.7</v>
      </c>
      <c r="M115" s="41">
        <v>89754.7</v>
      </c>
      <c r="N115" s="41">
        <v>89754.7</v>
      </c>
      <c r="O115" s="41">
        <v>89754.7</v>
      </c>
      <c r="P115" s="41">
        <v>89754.7</v>
      </c>
      <c r="Q115" s="56">
        <v>89754.7</v>
      </c>
    </row>
    <row r="116" spans="1:17" x14ac:dyDescent="0.35">
      <c r="A116">
        <v>6800</v>
      </c>
      <c r="B116" s="24">
        <v>92474.2</v>
      </c>
      <c r="C116" s="41">
        <v>92474.2</v>
      </c>
      <c r="D116" s="41">
        <v>92474.2</v>
      </c>
      <c r="E116" s="41">
        <v>92474.2</v>
      </c>
      <c r="F116" s="41">
        <v>92474.2</v>
      </c>
      <c r="G116" s="41">
        <v>92474.2</v>
      </c>
      <c r="H116" s="41">
        <v>92474.2</v>
      </c>
      <c r="I116" s="41">
        <v>92474.2</v>
      </c>
      <c r="J116" s="41">
        <v>92474.2</v>
      </c>
      <c r="K116" s="41">
        <v>92474.2</v>
      </c>
      <c r="L116" s="41">
        <v>92474.2</v>
      </c>
      <c r="M116" s="41">
        <v>92474.2</v>
      </c>
      <c r="N116" s="41">
        <v>92474.2</v>
      </c>
      <c r="O116" s="41">
        <v>92474.2</v>
      </c>
      <c r="P116" s="41">
        <v>92474.2</v>
      </c>
      <c r="Q116" s="56">
        <v>92474.2</v>
      </c>
    </row>
    <row r="117" spans="1:17" x14ac:dyDescent="0.35">
      <c r="A117">
        <v>7000</v>
      </c>
      <c r="B117" s="26">
        <v>95193.1</v>
      </c>
      <c r="C117" s="65">
        <v>95193.1</v>
      </c>
      <c r="D117" s="65">
        <v>95193.1</v>
      </c>
      <c r="E117" s="65">
        <v>95193.1</v>
      </c>
      <c r="F117" s="65">
        <v>95193.1</v>
      </c>
      <c r="G117" s="65">
        <v>95193.1</v>
      </c>
      <c r="H117" s="65">
        <v>95193.1</v>
      </c>
      <c r="I117" s="65">
        <v>95193.1</v>
      </c>
      <c r="J117" s="65">
        <v>95193.1</v>
      </c>
      <c r="K117" s="65">
        <v>95193.1</v>
      </c>
      <c r="L117" s="65">
        <v>95193.1</v>
      </c>
      <c r="M117" s="65">
        <v>95193.1</v>
      </c>
      <c r="N117" s="65">
        <v>95193.1</v>
      </c>
      <c r="O117" s="65">
        <v>95193.1</v>
      </c>
      <c r="P117" s="65">
        <v>95193.1</v>
      </c>
      <c r="Q117" s="61">
        <v>95193.1</v>
      </c>
    </row>
  </sheetData>
  <dataValidations count="3">
    <dataValidation type="list" allowBlank="1" showInputMessage="1" showErrorMessage="1" sqref="S4 W4" xr:uid="{543F27CF-D062-4DF6-8B8E-D7C5F454053B}">
      <formula1>OutputAddresses</formula1>
    </dataValidation>
    <dataValidation type="list" allowBlank="1" showInputMessage="1" showErrorMessage="1" sqref="T4" xr:uid="{C65376A6-0021-450F-8941-86B7336656BE}">
      <formula1>InputValues1</formula1>
    </dataValidation>
    <dataValidation type="list" allowBlank="1" showInputMessage="1" showErrorMessage="1" sqref="X4" xr:uid="{D7E4CA10-D22B-470F-B1ED-AB200BB79979}">
      <formula1>InputValues2</formula1>
    </dataValidation>
  </dataValidations>
  <pageMargins left="0.7" right="0.7" top="0.75" bottom="0.75" header="0.3" footer="0.3"/>
  <drawing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329968-0734-4E50-B553-6F61DB0CC249}">
  <dimension ref="A1:H24"/>
  <sheetViews>
    <sheetView showGridLines="0" topLeftCell="A8" workbookViewId="0">
      <selection activeCell="D18" sqref="D18"/>
    </sheetView>
  </sheetViews>
  <sheetFormatPr defaultRowHeight="14.5" x14ac:dyDescent="0.35"/>
  <cols>
    <col min="1" max="1" width="2.1796875" customWidth="1"/>
    <col min="2" max="2" width="6.08984375" bestFit="1" customWidth="1"/>
    <col min="3" max="3" width="24.6328125" bestFit="1" customWidth="1"/>
    <col min="4" max="5" width="11.81640625" bestFit="1" customWidth="1"/>
    <col min="6" max="6" width="10.1796875" bestFit="1" customWidth="1"/>
    <col min="7" max="8" width="11.81640625" bestFit="1" customWidth="1"/>
  </cols>
  <sheetData>
    <row r="1" spans="1:8" x14ac:dyDescent="0.35">
      <c r="A1" s="6" t="s">
        <v>26</v>
      </c>
    </row>
    <row r="2" spans="1:8" x14ac:dyDescent="0.35">
      <c r="A2" s="6" t="s">
        <v>63</v>
      </c>
    </row>
    <row r="3" spans="1:8" x14ac:dyDescent="0.35">
      <c r="A3" s="6" t="s">
        <v>64</v>
      </c>
    </row>
    <row r="6" spans="1:8" ht="15" thickBot="1" x14ac:dyDescent="0.4">
      <c r="A6" t="s">
        <v>27</v>
      </c>
    </row>
    <row r="7" spans="1:8" x14ac:dyDescent="0.35">
      <c r="B7" s="9"/>
      <c r="C7" s="9"/>
      <c r="D7" s="9" t="s">
        <v>30</v>
      </c>
      <c r="E7" s="9" t="s">
        <v>32</v>
      </c>
      <c r="F7" s="9" t="s">
        <v>34</v>
      </c>
      <c r="G7" s="9" t="s">
        <v>36</v>
      </c>
      <c r="H7" s="9" t="s">
        <v>36</v>
      </c>
    </row>
    <row r="8" spans="1:8" ht="15" thickBot="1" x14ac:dyDescent="0.4">
      <c r="B8" s="10" t="s">
        <v>28</v>
      </c>
      <c r="C8" s="10" t="s">
        <v>29</v>
      </c>
      <c r="D8" s="10" t="s">
        <v>31</v>
      </c>
      <c r="E8" s="10" t="s">
        <v>33</v>
      </c>
      <c r="F8" s="10" t="s">
        <v>35</v>
      </c>
      <c r="G8" s="10" t="s">
        <v>37</v>
      </c>
      <c r="H8" s="10" t="s">
        <v>38</v>
      </c>
    </row>
    <row r="9" spans="1:8" x14ac:dyDescent="0.35">
      <c r="B9" s="7" t="s">
        <v>43</v>
      </c>
      <c r="C9" s="7" t="s">
        <v>44</v>
      </c>
      <c r="D9" s="7">
        <v>2311.1111111111049</v>
      </c>
      <c r="E9" s="7">
        <v>0</v>
      </c>
      <c r="F9" s="7">
        <v>15</v>
      </c>
      <c r="G9" s="7">
        <v>1.4377777777778005</v>
      </c>
      <c r="H9" s="7">
        <v>0.92222222222223393</v>
      </c>
    </row>
    <row r="10" spans="1:8" x14ac:dyDescent="0.35">
      <c r="B10" s="7" t="s">
        <v>45</v>
      </c>
      <c r="C10" s="7" t="s">
        <v>46</v>
      </c>
      <c r="D10" s="7">
        <v>2567.9012345678948</v>
      </c>
      <c r="E10" s="7">
        <v>0</v>
      </c>
      <c r="F10" s="7">
        <v>12.3</v>
      </c>
      <c r="G10" s="7">
        <v>1.5780487804878165</v>
      </c>
      <c r="H10" s="7">
        <v>8.3000000000002476</v>
      </c>
    </row>
    <row r="11" spans="1:8" x14ac:dyDescent="0.35">
      <c r="B11" s="7" t="s">
        <v>47</v>
      </c>
      <c r="C11" s="7" t="s">
        <v>48</v>
      </c>
      <c r="D11" s="7">
        <v>0</v>
      </c>
      <c r="E11" s="7">
        <v>0.79876543209877204</v>
      </c>
      <c r="F11" s="7">
        <v>14.499999999999996</v>
      </c>
      <c r="G11" s="7">
        <v>1E+30</v>
      </c>
      <c r="H11" s="7">
        <v>0.79876543209877204</v>
      </c>
    </row>
    <row r="12" spans="1:8" ht="15" thickBot="1" x14ac:dyDescent="0.4">
      <c r="B12" s="8" t="s">
        <v>49</v>
      </c>
      <c r="C12" s="8" t="s">
        <v>50</v>
      </c>
      <c r="D12" s="8">
        <v>320.98765432100066</v>
      </c>
      <c r="E12" s="8">
        <v>0</v>
      </c>
      <c r="F12" s="8">
        <v>13.899999999999999</v>
      </c>
      <c r="G12" s="8">
        <v>0.83000000000001106</v>
      </c>
      <c r="H12" s="8">
        <v>1.6000000000000156</v>
      </c>
    </row>
    <row r="14" spans="1:8" ht="15" thickBot="1" x14ac:dyDescent="0.4">
      <c r="A14" t="s">
        <v>16</v>
      </c>
    </row>
    <row r="15" spans="1:8" x14ac:dyDescent="0.35">
      <c r="B15" s="9"/>
      <c r="C15" s="9"/>
      <c r="D15" s="9" t="s">
        <v>30</v>
      </c>
      <c r="E15" s="9" t="s">
        <v>39</v>
      </c>
      <c r="F15" s="9" t="s">
        <v>41</v>
      </c>
      <c r="G15" s="9" t="s">
        <v>36</v>
      </c>
      <c r="H15" s="9" t="s">
        <v>36</v>
      </c>
    </row>
    <row r="16" spans="1:8" ht="15" thickBot="1" x14ac:dyDescent="0.4">
      <c r="B16" s="10" t="s">
        <v>28</v>
      </c>
      <c r="C16" s="10" t="s">
        <v>29</v>
      </c>
      <c r="D16" s="10" t="s">
        <v>31</v>
      </c>
      <c r="E16" s="10" t="s">
        <v>40</v>
      </c>
      <c r="F16" s="10" t="s">
        <v>42</v>
      </c>
      <c r="G16" s="10" t="s">
        <v>37</v>
      </c>
      <c r="H16" s="10" t="s">
        <v>38</v>
      </c>
    </row>
    <row r="17" spans="2:8" x14ac:dyDescent="0.35">
      <c r="B17" s="7" t="s">
        <v>65</v>
      </c>
      <c r="C17" s="7" t="s">
        <v>51</v>
      </c>
      <c r="D17" s="7">
        <v>5200</v>
      </c>
      <c r="E17" s="7">
        <v>13.598765432098764</v>
      </c>
      <c r="F17" s="7">
        <v>5200</v>
      </c>
      <c r="G17" s="7">
        <v>1E+30</v>
      </c>
      <c r="H17" s="7">
        <v>5200</v>
      </c>
    </row>
    <row r="18" spans="2:8" x14ac:dyDescent="0.35">
      <c r="B18" s="7" t="s">
        <v>66</v>
      </c>
      <c r="C18" s="7" t="s">
        <v>52</v>
      </c>
      <c r="D18" s="7">
        <v>4888</v>
      </c>
      <c r="E18" s="7">
        <v>10.246913580247027</v>
      </c>
      <c r="F18" s="7">
        <v>0</v>
      </c>
      <c r="G18" s="7">
        <v>26.000000000000593</v>
      </c>
      <c r="H18" s="7">
        <v>184.59999999999948</v>
      </c>
    </row>
    <row r="19" spans="2:8" x14ac:dyDescent="0.35">
      <c r="B19" s="7" t="s">
        <v>67</v>
      </c>
      <c r="C19" s="7" t="s">
        <v>53</v>
      </c>
      <c r="D19" s="7">
        <v>4680</v>
      </c>
      <c r="E19" s="7">
        <v>17.777777777777864</v>
      </c>
      <c r="F19" s="7">
        <v>0</v>
      </c>
      <c r="G19" s="7">
        <v>117.36111111111111</v>
      </c>
      <c r="H19" s="7">
        <v>2.8888888888894897</v>
      </c>
    </row>
    <row r="20" spans="2:8" x14ac:dyDescent="0.35">
      <c r="B20" s="7" t="s">
        <v>68</v>
      </c>
      <c r="C20" s="7" t="s">
        <v>54</v>
      </c>
      <c r="D20" s="7">
        <v>70713.580246913596</v>
      </c>
      <c r="E20" s="7">
        <v>0</v>
      </c>
      <c r="F20" s="7">
        <v>0</v>
      </c>
      <c r="G20" s="7">
        <v>1E+30</v>
      </c>
      <c r="H20" s="7">
        <v>2086.4197530864149</v>
      </c>
    </row>
    <row r="21" spans="2:8" x14ac:dyDescent="0.35">
      <c r="B21" s="7" t="s">
        <v>69</v>
      </c>
      <c r="C21" s="7" t="s">
        <v>70</v>
      </c>
      <c r="D21" s="7">
        <v>2311.1111111111049</v>
      </c>
      <c r="E21" s="7">
        <v>0</v>
      </c>
      <c r="F21" s="7">
        <v>0</v>
      </c>
      <c r="G21" s="7">
        <v>1E+30</v>
      </c>
      <c r="H21" s="7">
        <v>288.88888888889517</v>
      </c>
    </row>
    <row r="22" spans="2:8" x14ac:dyDescent="0.35">
      <c r="B22" s="7" t="s">
        <v>71</v>
      </c>
      <c r="C22" s="7" t="s">
        <v>72</v>
      </c>
      <c r="D22" s="7">
        <v>2567.9012345678948</v>
      </c>
      <c r="E22" s="7">
        <v>0</v>
      </c>
      <c r="F22" s="7">
        <v>0</v>
      </c>
      <c r="G22" s="7">
        <v>1E+30</v>
      </c>
      <c r="H22" s="7">
        <v>32.09876543210536</v>
      </c>
    </row>
    <row r="23" spans="2:8" x14ac:dyDescent="0.35">
      <c r="B23" s="7" t="s">
        <v>73</v>
      </c>
      <c r="C23" s="7" t="s">
        <v>74</v>
      </c>
      <c r="D23" s="7">
        <v>0</v>
      </c>
      <c r="E23" s="7">
        <v>0</v>
      </c>
      <c r="F23" s="7">
        <v>0</v>
      </c>
      <c r="G23" s="7">
        <v>1E+30</v>
      </c>
      <c r="H23" s="7">
        <v>2600</v>
      </c>
    </row>
    <row r="24" spans="2:8" ht="15" thickBot="1" x14ac:dyDescent="0.4">
      <c r="B24" s="8" t="s">
        <v>75</v>
      </c>
      <c r="C24" s="8" t="s">
        <v>76</v>
      </c>
      <c r="D24" s="8">
        <v>320.98765432100066</v>
      </c>
      <c r="E24" s="8">
        <v>0</v>
      </c>
      <c r="F24" s="8">
        <v>0</v>
      </c>
      <c r="G24" s="8">
        <v>1E+30</v>
      </c>
      <c r="H24" s="8">
        <v>2279.0123456789997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37FF544-B95B-47DB-97C0-CB7E22B08F68}">
  <dimension ref="A1:B15"/>
  <sheetViews>
    <sheetView workbookViewId="0"/>
  </sheetViews>
  <sheetFormatPr defaultRowHeight="14.5" x14ac:dyDescent="0.35"/>
  <sheetData>
    <row r="1" spans="1:2" x14ac:dyDescent="0.35">
      <c r="A1">
        <v>1</v>
      </c>
    </row>
    <row r="2" spans="1:2" x14ac:dyDescent="0.35">
      <c r="A2" t="s">
        <v>77</v>
      </c>
    </row>
    <row r="3" spans="1:2" x14ac:dyDescent="0.35">
      <c r="A3">
        <v>1</v>
      </c>
    </row>
    <row r="4" spans="1:2" x14ac:dyDescent="0.35">
      <c r="A4">
        <v>4000</v>
      </c>
    </row>
    <row r="5" spans="1:2" x14ac:dyDescent="0.35">
      <c r="A5">
        <v>6000</v>
      </c>
    </row>
    <row r="6" spans="1:2" x14ac:dyDescent="0.35">
      <c r="A6">
        <v>200</v>
      </c>
    </row>
    <row r="8" spans="1:2" x14ac:dyDescent="0.35">
      <c r="A8" s="18"/>
      <c r="B8" s="18"/>
    </row>
    <row r="9" spans="1:2" x14ac:dyDescent="0.35">
      <c r="A9" t="s">
        <v>78</v>
      </c>
    </row>
    <row r="10" spans="1:2" x14ac:dyDescent="0.35">
      <c r="A10" t="s">
        <v>79</v>
      </c>
    </row>
    <row r="15" spans="1:2" x14ac:dyDescent="0.35">
      <c r="B15" s="18"/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C4D70C-1FDF-490A-825F-E4778F6307D0}">
  <dimension ref="A1:K15"/>
  <sheetViews>
    <sheetView workbookViewId="0"/>
  </sheetViews>
  <sheetFormatPr defaultRowHeight="14.5" x14ac:dyDescent="0.35"/>
  <cols>
    <col min="2" max="2" width="11.1796875" bestFit="1" customWidth="1"/>
  </cols>
  <sheetData>
    <row r="1" spans="1:11" x14ac:dyDescent="0.35">
      <c r="A1" s="6" t="s">
        <v>80</v>
      </c>
      <c r="K1" s="21" t="str">
        <f>CONCATENATE("Sensitivity of ",$K$4," to ","Input")</f>
        <v>Sensitivity of $B$11 to Input</v>
      </c>
    </row>
    <row r="3" spans="1:11" x14ac:dyDescent="0.35">
      <c r="A3" t="s">
        <v>81</v>
      </c>
      <c r="K3" t="s">
        <v>83</v>
      </c>
    </row>
    <row r="4" spans="1:11" ht="32.5" x14ac:dyDescent="0.35">
      <c r="B4" s="19" t="s">
        <v>82</v>
      </c>
      <c r="C4" s="19" t="s">
        <v>55</v>
      </c>
      <c r="J4" s="21">
        <f>MATCH($K$4,OutputAddresses,0)</f>
        <v>1</v>
      </c>
      <c r="K4" s="20" t="s">
        <v>82</v>
      </c>
    </row>
    <row r="5" spans="1:11" x14ac:dyDescent="0.35">
      <c r="A5">
        <v>4000</v>
      </c>
      <c r="B5" s="22">
        <v>54395.06</v>
      </c>
      <c r="C5" s="23">
        <v>13.598765432098764</v>
      </c>
      <c r="K5">
        <f>INDEX(OutputValues,1,$J$4)</f>
        <v>54395.06</v>
      </c>
    </row>
    <row r="6" spans="1:11" x14ac:dyDescent="0.35">
      <c r="A6">
        <v>4200</v>
      </c>
      <c r="B6" s="24">
        <v>57114.81</v>
      </c>
      <c r="C6" s="25">
        <v>13.598765432098766</v>
      </c>
      <c r="K6">
        <f>INDEX(OutputValues,2,$J$4)</f>
        <v>57114.81</v>
      </c>
    </row>
    <row r="7" spans="1:11" x14ac:dyDescent="0.35">
      <c r="A7">
        <v>4400</v>
      </c>
      <c r="B7" s="24">
        <v>59834.57</v>
      </c>
      <c r="C7" s="25">
        <v>13.598765432098768</v>
      </c>
      <c r="K7">
        <f>INDEX(OutputValues,3,$J$4)</f>
        <v>59834.57</v>
      </c>
    </row>
    <row r="8" spans="1:11" x14ac:dyDescent="0.35">
      <c r="A8">
        <v>4600</v>
      </c>
      <c r="B8" s="24">
        <v>62554.32</v>
      </c>
      <c r="C8" s="25">
        <v>13.598765432098766</v>
      </c>
      <c r="K8">
        <f>INDEX(OutputValues,4,$J$4)</f>
        <v>62554.32</v>
      </c>
    </row>
    <row r="9" spans="1:11" x14ac:dyDescent="0.35">
      <c r="A9">
        <v>4800</v>
      </c>
      <c r="B9" s="24">
        <v>65274.07</v>
      </c>
      <c r="C9" s="25">
        <v>13.598765432098768</v>
      </c>
      <c r="K9">
        <f>INDEX(OutputValues,5,$J$4)</f>
        <v>65274.07</v>
      </c>
    </row>
    <row r="10" spans="1:11" x14ac:dyDescent="0.35">
      <c r="A10">
        <v>5000</v>
      </c>
      <c r="B10" s="24">
        <v>67993.83</v>
      </c>
      <c r="C10" s="25">
        <v>13.598765432098764</v>
      </c>
      <c r="K10">
        <f>INDEX(OutputValues,6,$J$4)</f>
        <v>67993.83</v>
      </c>
    </row>
    <row r="11" spans="1:11" x14ac:dyDescent="0.35">
      <c r="A11">
        <v>5200</v>
      </c>
      <c r="B11" s="24">
        <v>70713.58</v>
      </c>
      <c r="C11" s="25">
        <v>13.598765432098768</v>
      </c>
      <c r="K11">
        <f>INDEX(OutputValues,7,$J$4)</f>
        <v>70713.58</v>
      </c>
    </row>
    <row r="12" spans="1:11" x14ac:dyDescent="0.35">
      <c r="A12">
        <v>5400</v>
      </c>
      <c r="B12" s="24">
        <v>73433.33</v>
      </c>
      <c r="C12" s="25">
        <v>13.598765432098768</v>
      </c>
      <c r="K12">
        <f>INDEX(OutputValues,8,$J$4)</f>
        <v>73433.33</v>
      </c>
    </row>
    <row r="13" spans="1:11" x14ac:dyDescent="0.35">
      <c r="A13">
        <v>5600</v>
      </c>
      <c r="B13" s="24">
        <v>76153.09</v>
      </c>
      <c r="C13" s="25">
        <v>13.598765432098766</v>
      </c>
      <c r="K13">
        <f>INDEX(OutputValues,9,$J$4)</f>
        <v>76153.09</v>
      </c>
    </row>
    <row r="14" spans="1:11" x14ac:dyDescent="0.35">
      <c r="A14">
        <v>5800</v>
      </c>
      <c r="B14" s="24">
        <v>78872.84</v>
      </c>
      <c r="C14" s="25">
        <v>13.598765432098768</v>
      </c>
      <c r="K14">
        <f>INDEX(OutputValues,10,$J$4)</f>
        <v>78872.84</v>
      </c>
    </row>
    <row r="15" spans="1:11" x14ac:dyDescent="0.35">
      <c r="A15">
        <v>6000</v>
      </c>
      <c r="B15" s="26">
        <v>81592.59</v>
      </c>
      <c r="C15" s="27">
        <v>13.598765432098771</v>
      </c>
      <c r="K15">
        <f>INDEX(OutputValues,11,$J$4)</f>
        <v>81592.59</v>
      </c>
    </row>
  </sheetData>
  <dataValidations count="1">
    <dataValidation type="list" allowBlank="1" showInputMessage="1" showErrorMessage="1" sqref="K4" xr:uid="{EBCE9BE7-0512-4C14-8FF0-87C22BA4F6D4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1772E-80A8-485F-A5D7-A766CFA901EC}">
  <dimension ref="A1:B18"/>
  <sheetViews>
    <sheetView workbookViewId="0"/>
  </sheetViews>
  <sheetFormatPr defaultRowHeight="14.5" x14ac:dyDescent="0.35"/>
  <sheetData>
    <row r="1" spans="1:2" x14ac:dyDescent="0.35">
      <c r="A1">
        <v>1</v>
      </c>
      <c r="B1">
        <v>1</v>
      </c>
    </row>
    <row r="2" spans="1:2" x14ac:dyDescent="0.35">
      <c r="A2" t="s">
        <v>77</v>
      </c>
      <c r="B2" t="s">
        <v>77</v>
      </c>
    </row>
    <row r="3" spans="1:2" x14ac:dyDescent="0.35">
      <c r="A3">
        <v>1</v>
      </c>
      <c r="B3">
        <v>1</v>
      </c>
    </row>
    <row r="4" spans="1:2" x14ac:dyDescent="0.35">
      <c r="A4">
        <v>3000</v>
      </c>
      <c r="B4">
        <v>3000</v>
      </c>
    </row>
    <row r="5" spans="1:2" x14ac:dyDescent="0.35">
      <c r="A5">
        <v>7000</v>
      </c>
      <c r="B5">
        <v>7000</v>
      </c>
    </row>
    <row r="6" spans="1:2" x14ac:dyDescent="0.35">
      <c r="A6">
        <v>200</v>
      </c>
      <c r="B6">
        <v>200</v>
      </c>
    </row>
    <row r="8" spans="1:2" x14ac:dyDescent="0.35">
      <c r="A8" s="18"/>
      <c r="B8" s="18" t="s">
        <v>97</v>
      </c>
    </row>
    <row r="9" spans="1:2" x14ac:dyDescent="0.35">
      <c r="A9" t="s">
        <v>98</v>
      </c>
      <c r="B9" t="s">
        <v>135</v>
      </c>
    </row>
    <row r="10" spans="1:2" x14ac:dyDescent="0.35">
      <c r="A10" t="s">
        <v>132</v>
      </c>
      <c r="B10">
        <v>1</v>
      </c>
    </row>
    <row r="11" spans="1:2" x14ac:dyDescent="0.35">
      <c r="B11">
        <v>11</v>
      </c>
    </row>
    <row r="12" spans="1:2" x14ac:dyDescent="0.35">
      <c r="B12">
        <v>16</v>
      </c>
    </row>
    <row r="13" spans="1:2" x14ac:dyDescent="0.35">
      <c r="B13">
        <v>0.5</v>
      </c>
    </row>
    <row r="15" spans="1:2" x14ac:dyDescent="0.35">
      <c r="B15" s="18" t="s">
        <v>97</v>
      </c>
    </row>
    <row r="16" spans="1:2" x14ac:dyDescent="0.35">
      <c r="B16" t="s">
        <v>136</v>
      </c>
    </row>
    <row r="17" spans="2:2" x14ac:dyDescent="0.35">
      <c r="B17" t="s">
        <v>122</v>
      </c>
    </row>
    <row r="18" spans="2:2" x14ac:dyDescent="0.35">
      <c r="B18" t="s">
        <v>123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F6533BA-24BC-499E-B972-D9447485FD89}">
  <dimension ref="A1:B18"/>
  <sheetViews>
    <sheetView workbookViewId="0"/>
  </sheetViews>
  <sheetFormatPr defaultRowHeight="14.5" x14ac:dyDescent="0.35"/>
  <sheetData>
    <row r="1" spans="1:2" x14ac:dyDescent="0.35">
      <c r="A1">
        <v>1</v>
      </c>
      <c r="B1">
        <v>1</v>
      </c>
    </row>
    <row r="2" spans="1:2" x14ac:dyDescent="0.35">
      <c r="A2" t="s">
        <v>77</v>
      </c>
      <c r="B2" t="s">
        <v>96</v>
      </c>
    </row>
    <row r="3" spans="1:2" x14ac:dyDescent="0.35">
      <c r="A3">
        <v>1</v>
      </c>
      <c r="B3">
        <v>1</v>
      </c>
    </row>
    <row r="4" spans="1:2" x14ac:dyDescent="0.35">
      <c r="A4">
        <v>4000</v>
      </c>
      <c r="B4">
        <v>3000</v>
      </c>
    </row>
    <row r="5" spans="1:2" x14ac:dyDescent="0.35">
      <c r="A5">
        <v>7000</v>
      </c>
      <c r="B5">
        <v>7000</v>
      </c>
    </row>
    <row r="6" spans="1:2" x14ac:dyDescent="0.35">
      <c r="A6">
        <v>100</v>
      </c>
      <c r="B6">
        <v>200</v>
      </c>
    </row>
    <row r="8" spans="1:2" x14ac:dyDescent="0.35">
      <c r="A8" s="18"/>
      <c r="B8" s="18" t="s">
        <v>97</v>
      </c>
    </row>
    <row r="9" spans="1:2" x14ac:dyDescent="0.35">
      <c r="A9" t="s">
        <v>84</v>
      </c>
      <c r="B9" t="s">
        <v>45</v>
      </c>
    </row>
    <row r="10" spans="1:2" x14ac:dyDescent="0.35">
      <c r="A10" t="s">
        <v>79</v>
      </c>
      <c r="B10">
        <v>1</v>
      </c>
    </row>
    <row r="11" spans="1:2" x14ac:dyDescent="0.35">
      <c r="B11">
        <v>1500</v>
      </c>
    </row>
    <row r="12" spans="1:2" x14ac:dyDescent="0.35">
      <c r="B12">
        <v>3000</v>
      </c>
    </row>
    <row r="13" spans="1:2" x14ac:dyDescent="0.35">
      <c r="B13">
        <v>100</v>
      </c>
    </row>
    <row r="15" spans="1:2" x14ac:dyDescent="0.35">
      <c r="B15" s="18" t="s">
        <v>97</v>
      </c>
    </row>
    <row r="16" spans="1:2" x14ac:dyDescent="0.35">
      <c r="B16" t="s">
        <v>108</v>
      </c>
    </row>
    <row r="17" spans="2:2" x14ac:dyDescent="0.35">
      <c r="B17" t="s">
        <v>99</v>
      </c>
    </row>
    <row r="18" spans="2:2" x14ac:dyDescent="0.35">
      <c r="B18" t="s">
        <v>109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7EE14-42F7-4783-A375-4389929CE3AD}">
  <dimension ref="A1:K36"/>
  <sheetViews>
    <sheetView workbookViewId="0">
      <selection activeCell="B37" sqref="B37"/>
    </sheetView>
  </sheetViews>
  <sheetFormatPr defaultRowHeight="14.5" x14ac:dyDescent="0.35"/>
  <cols>
    <col min="2" max="2" width="11.1796875" bestFit="1" customWidth="1"/>
  </cols>
  <sheetData>
    <row r="1" spans="1:11" x14ac:dyDescent="0.35">
      <c r="A1" s="6" t="s">
        <v>85</v>
      </c>
      <c r="K1" s="21" t="str">
        <f>CONCATENATE("Sensitivity of ",$K$4," to ","Input")</f>
        <v>Sensitivity of $B$11 to Input</v>
      </c>
    </row>
    <row r="3" spans="1:11" x14ac:dyDescent="0.35">
      <c r="A3" t="s">
        <v>81</v>
      </c>
      <c r="K3" t="s">
        <v>83</v>
      </c>
    </row>
    <row r="4" spans="1:11" ht="32.5" x14ac:dyDescent="0.35">
      <c r="B4" s="19" t="s">
        <v>82</v>
      </c>
      <c r="C4" s="19" t="s">
        <v>86</v>
      </c>
      <c r="D4" s="19" t="s">
        <v>87</v>
      </c>
      <c r="E4" s="19" t="s">
        <v>88</v>
      </c>
      <c r="F4" s="19" t="s">
        <v>89</v>
      </c>
      <c r="G4" s="19" t="s">
        <v>55</v>
      </c>
      <c r="J4" s="21">
        <f>MATCH($K$4,OutputAddresses,0)</f>
        <v>1</v>
      </c>
      <c r="K4" s="20" t="s">
        <v>82</v>
      </c>
    </row>
    <row r="5" spans="1:11" x14ac:dyDescent="0.35">
      <c r="A5">
        <v>4000</v>
      </c>
      <c r="B5" s="22">
        <v>54395.8</v>
      </c>
      <c r="C5" s="35">
        <v>1778</v>
      </c>
      <c r="D5" s="35">
        <v>1975</v>
      </c>
      <c r="E5" s="35">
        <v>0</v>
      </c>
      <c r="F5" s="35">
        <v>247</v>
      </c>
      <c r="G5" s="36">
        <v>13.59895</v>
      </c>
      <c r="K5">
        <f>INDEX(OutputValues,1,$J$4)</f>
        <v>54395.8</v>
      </c>
    </row>
    <row r="6" spans="1:11" x14ac:dyDescent="0.35">
      <c r="A6">
        <v>4100</v>
      </c>
      <c r="B6" s="24">
        <v>55756.4</v>
      </c>
      <c r="C6" s="37">
        <v>1822</v>
      </c>
      <c r="D6" s="37">
        <v>2024</v>
      </c>
      <c r="E6" s="37">
        <v>1</v>
      </c>
      <c r="F6" s="37">
        <v>253</v>
      </c>
      <c r="G6" s="38">
        <v>13.599121951219511</v>
      </c>
      <c r="K6">
        <f>INDEX(OutputValues,2,$J$4)</f>
        <v>55756.4</v>
      </c>
    </row>
    <row r="7" spans="1:11" x14ac:dyDescent="0.35">
      <c r="A7">
        <v>4200</v>
      </c>
      <c r="B7" s="24">
        <v>57115.3</v>
      </c>
      <c r="C7" s="37">
        <v>1867</v>
      </c>
      <c r="D7" s="37">
        <v>2074</v>
      </c>
      <c r="E7" s="37">
        <v>0</v>
      </c>
      <c r="F7" s="37">
        <v>259</v>
      </c>
      <c r="G7" s="38">
        <v>13.598880952380952</v>
      </c>
      <c r="K7">
        <f>INDEX(OutputValues,3,$J$4)</f>
        <v>57115.3</v>
      </c>
    </row>
    <row r="8" spans="1:11" x14ac:dyDescent="0.35">
      <c r="A8">
        <v>4300</v>
      </c>
      <c r="B8" s="24">
        <v>58475.9</v>
      </c>
      <c r="C8" s="37">
        <v>1911</v>
      </c>
      <c r="D8" s="37">
        <v>2123</v>
      </c>
      <c r="E8" s="37">
        <v>1</v>
      </c>
      <c r="F8" s="37">
        <v>265</v>
      </c>
      <c r="G8" s="38">
        <v>13.599046511627908</v>
      </c>
      <c r="K8">
        <f>INDEX(OutputValues,4,$J$4)</f>
        <v>58475.9</v>
      </c>
    </row>
    <row r="9" spans="1:11" x14ac:dyDescent="0.35">
      <c r="A9">
        <v>4400</v>
      </c>
      <c r="B9" s="24">
        <v>59835.9</v>
      </c>
      <c r="C9" s="37">
        <v>1957</v>
      </c>
      <c r="D9" s="37">
        <v>2173</v>
      </c>
      <c r="E9" s="37">
        <v>0</v>
      </c>
      <c r="F9" s="37">
        <v>270</v>
      </c>
      <c r="G9" s="38">
        <v>13.599068181818183</v>
      </c>
      <c r="K9">
        <f>INDEX(OutputValues,5,$J$4)</f>
        <v>59835.9</v>
      </c>
    </row>
    <row r="10" spans="1:11" x14ac:dyDescent="0.35">
      <c r="A10">
        <v>4500</v>
      </c>
      <c r="B10" s="24">
        <v>61200.9</v>
      </c>
      <c r="C10" s="37">
        <v>2007</v>
      </c>
      <c r="D10" s="37">
        <v>2223</v>
      </c>
      <c r="E10" s="37">
        <v>0</v>
      </c>
      <c r="F10" s="37">
        <v>270</v>
      </c>
      <c r="G10" s="38">
        <v>13.600200000000001</v>
      </c>
      <c r="K10">
        <f>INDEX(OutputValues,6,$J$4)</f>
        <v>61200.9</v>
      </c>
    </row>
    <row r="11" spans="1:11" x14ac:dyDescent="0.35">
      <c r="A11">
        <v>4600</v>
      </c>
      <c r="B11" s="24">
        <v>62555.9</v>
      </c>
      <c r="C11" s="37">
        <v>2045</v>
      </c>
      <c r="D11" s="37">
        <v>2271</v>
      </c>
      <c r="E11" s="37">
        <v>0</v>
      </c>
      <c r="F11" s="37">
        <v>284</v>
      </c>
      <c r="G11" s="38">
        <v>13.599108695652173</v>
      </c>
      <c r="K11">
        <f>INDEX(OutputValues,7,$J$4)</f>
        <v>62555.9</v>
      </c>
    </row>
    <row r="12" spans="1:11" x14ac:dyDescent="0.35">
      <c r="A12">
        <v>4700</v>
      </c>
      <c r="B12" s="24">
        <v>63914.3</v>
      </c>
      <c r="C12" s="37">
        <v>2089</v>
      </c>
      <c r="D12" s="37">
        <v>2321</v>
      </c>
      <c r="E12" s="37">
        <v>0</v>
      </c>
      <c r="F12" s="37">
        <v>290</v>
      </c>
      <c r="G12" s="38">
        <v>13.598787234042554</v>
      </c>
      <c r="K12">
        <f>INDEX(OutputValues,8,$J$4)</f>
        <v>63914.3</v>
      </c>
    </row>
    <row r="13" spans="1:11" x14ac:dyDescent="0.35">
      <c r="A13">
        <v>4800</v>
      </c>
      <c r="B13" s="24">
        <v>65277.1</v>
      </c>
      <c r="C13" s="37">
        <v>2133</v>
      </c>
      <c r="D13" s="37">
        <v>2369</v>
      </c>
      <c r="E13" s="37">
        <v>2</v>
      </c>
      <c r="F13" s="37">
        <v>296</v>
      </c>
      <c r="G13" s="38">
        <v>13.599395833333332</v>
      </c>
      <c r="K13">
        <f>INDEX(OutputValues,9,$J$4)</f>
        <v>65277.1</v>
      </c>
    </row>
    <row r="14" spans="1:11" x14ac:dyDescent="0.35">
      <c r="A14">
        <v>4900</v>
      </c>
      <c r="B14" s="24">
        <v>66635.399999999994</v>
      </c>
      <c r="C14" s="37">
        <v>2178</v>
      </c>
      <c r="D14" s="37">
        <v>2419</v>
      </c>
      <c r="E14" s="37">
        <v>0</v>
      </c>
      <c r="F14" s="37">
        <v>303</v>
      </c>
      <c r="G14" s="38">
        <v>13.599061224489795</v>
      </c>
      <c r="K14">
        <f>INDEX(OutputValues,10,$J$4)</f>
        <v>66635.399999999994</v>
      </c>
    </row>
    <row r="15" spans="1:11" x14ac:dyDescent="0.35">
      <c r="A15">
        <v>5000</v>
      </c>
      <c r="B15" s="24">
        <v>67996.600000000006</v>
      </c>
      <c r="C15" s="37">
        <v>2222</v>
      </c>
      <c r="D15" s="37">
        <v>2468</v>
      </c>
      <c r="E15" s="37">
        <v>2</v>
      </c>
      <c r="F15" s="37">
        <v>308</v>
      </c>
      <c r="G15" s="38">
        <v>13.599320000000001</v>
      </c>
      <c r="K15">
        <f>INDEX(OutputValues,11,$J$4)</f>
        <v>67996.600000000006</v>
      </c>
    </row>
    <row r="16" spans="1:11" x14ac:dyDescent="0.35">
      <c r="A16">
        <v>5100</v>
      </c>
      <c r="B16" s="24">
        <v>69354.899999999994</v>
      </c>
      <c r="C16" s="37">
        <v>2267</v>
      </c>
      <c r="D16" s="37">
        <v>2518</v>
      </c>
      <c r="E16" s="37">
        <v>0</v>
      </c>
      <c r="F16" s="37">
        <v>315</v>
      </c>
      <c r="G16" s="38">
        <v>13.598999999999998</v>
      </c>
      <c r="K16">
        <f>INDEX(OutputValues,12,$J$4)</f>
        <v>69354.899999999994</v>
      </c>
    </row>
    <row r="17" spans="1:11" x14ac:dyDescent="0.35">
      <c r="A17">
        <v>5200</v>
      </c>
      <c r="B17" s="24">
        <v>70714.399999999994</v>
      </c>
      <c r="C17" s="37">
        <v>2312</v>
      </c>
      <c r="D17" s="37">
        <v>2568</v>
      </c>
      <c r="E17" s="37">
        <v>0</v>
      </c>
      <c r="F17" s="37">
        <v>320</v>
      </c>
      <c r="G17" s="38">
        <v>13.598923076923075</v>
      </c>
      <c r="K17">
        <f>INDEX(OutputValues,13,$J$4)</f>
        <v>70714.399999999994</v>
      </c>
    </row>
    <row r="18" spans="1:11" x14ac:dyDescent="0.35">
      <c r="A18">
        <v>5300</v>
      </c>
      <c r="B18" s="24">
        <v>72074.399999999994</v>
      </c>
      <c r="C18" s="37">
        <v>2356</v>
      </c>
      <c r="D18" s="37">
        <v>2617</v>
      </c>
      <c r="E18" s="37">
        <v>0</v>
      </c>
      <c r="F18" s="37">
        <v>327</v>
      </c>
      <c r="G18" s="38">
        <v>13.598943396226417</v>
      </c>
      <c r="K18">
        <f>INDEX(OutputValues,14,$J$4)</f>
        <v>72074.399999999994</v>
      </c>
    </row>
    <row r="19" spans="1:11" x14ac:dyDescent="0.35">
      <c r="A19">
        <v>5400</v>
      </c>
      <c r="B19" s="24">
        <v>73436.100000000006</v>
      </c>
      <c r="C19" s="37">
        <v>2403</v>
      </c>
      <c r="D19" s="37">
        <v>2667</v>
      </c>
      <c r="E19" s="37">
        <v>0</v>
      </c>
      <c r="F19" s="37">
        <v>330</v>
      </c>
      <c r="G19" s="38">
        <v>13.599277777777779</v>
      </c>
      <c r="K19">
        <f>INDEX(OutputValues,15,$J$4)</f>
        <v>73436.100000000006</v>
      </c>
    </row>
    <row r="20" spans="1:11" x14ac:dyDescent="0.35">
      <c r="A20">
        <v>5500</v>
      </c>
      <c r="B20" s="24">
        <v>74793.899999999994</v>
      </c>
      <c r="C20" s="37">
        <v>2445</v>
      </c>
      <c r="D20" s="37">
        <v>2716</v>
      </c>
      <c r="E20" s="37">
        <v>0</v>
      </c>
      <c r="F20" s="37">
        <v>339</v>
      </c>
      <c r="G20" s="38">
        <v>13.59889090909091</v>
      </c>
      <c r="K20">
        <f>INDEX(OutputValues,16,$J$4)</f>
        <v>74793.899999999994</v>
      </c>
    </row>
    <row r="21" spans="1:11" x14ac:dyDescent="0.35">
      <c r="A21">
        <v>5600</v>
      </c>
      <c r="B21" s="24">
        <v>76153.899999999994</v>
      </c>
      <c r="C21" s="37">
        <v>2489</v>
      </c>
      <c r="D21" s="37">
        <v>2765</v>
      </c>
      <c r="E21" s="37">
        <v>0</v>
      </c>
      <c r="F21" s="37">
        <v>346</v>
      </c>
      <c r="G21" s="38">
        <v>13.598910714285713</v>
      </c>
      <c r="K21">
        <f>INDEX(OutputValues,17,$J$4)</f>
        <v>76153.899999999994</v>
      </c>
    </row>
    <row r="22" spans="1:11" x14ac:dyDescent="0.35">
      <c r="A22">
        <v>5700</v>
      </c>
      <c r="B22" s="24">
        <v>77514.5</v>
      </c>
      <c r="C22" s="37">
        <v>2533</v>
      </c>
      <c r="D22" s="37">
        <v>2814</v>
      </c>
      <c r="E22" s="37">
        <v>1</v>
      </c>
      <c r="F22" s="37">
        <v>352</v>
      </c>
      <c r="G22" s="38">
        <v>13.599035087719301</v>
      </c>
      <c r="K22">
        <f>INDEX(OutputValues,18,$J$4)</f>
        <v>77514.5</v>
      </c>
    </row>
    <row r="23" spans="1:11" x14ac:dyDescent="0.35">
      <c r="A23">
        <v>5800</v>
      </c>
      <c r="B23" s="24">
        <v>78873.399999999994</v>
      </c>
      <c r="C23" s="37">
        <v>2578</v>
      </c>
      <c r="D23" s="37">
        <v>2864</v>
      </c>
      <c r="E23" s="37">
        <v>0</v>
      </c>
      <c r="F23" s="37">
        <v>358</v>
      </c>
      <c r="G23" s="38">
        <v>13.598862068965518</v>
      </c>
      <c r="K23">
        <f>INDEX(OutputValues,19,$J$4)</f>
        <v>78873.399999999994</v>
      </c>
    </row>
    <row r="24" spans="1:11" x14ac:dyDescent="0.35">
      <c r="A24">
        <v>5900</v>
      </c>
      <c r="B24" s="24">
        <v>80234</v>
      </c>
      <c r="C24" s="37">
        <v>2622</v>
      </c>
      <c r="D24" s="37">
        <v>2913</v>
      </c>
      <c r="E24" s="37">
        <v>1</v>
      </c>
      <c r="F24" s="37">
        <v>364</v>
      </c>
      <c r="G24" s="38">
        <v>13.598983050847458</v>
      </c>
      <c r="K24">
        <f>INDEX(OutputValues,20,$J$4)</f>
        <v>80234</v>
      </c>
    </row>
    <row r="25" spans="1:11" x14ac:dyDescent="0.35">
      <c r="A25">
        <v>6000</v>
      </c>
      <c r="B25" s="24">
        <v>81592.899999999994</v>
      </c>
      <c r="C25" s="37">
        <v>2667</v>
      </c>
      <c r="D25" s="37">
        <v>2963</v>
      </c>
      <c r="E25" s="37">
        <v>0</v>
      </c>
      <c r="F25" s="37">
        <v>370</v>
      </c>
      <c r="G25" s="38">
        <v>13.598816666666666</v>
      </c>
      <c r="K25">
        <f>INDEX(OutputValues,21,$J$4)</f>
        <v>81592.899999999994</v>
      </c>
    </row>
    <row r="26" spans="1:11" x14ac:dyDescent="0.35">
      <c r="A26">
        <v>6100</v>
      </c>
      <c r="B26" s="24">
        <v>82954.600000000006</v>
      </c>
      <c r="C26" s="37">
        <v>2710</v>
      </c>
      <c r="D26" s="37">
        <v>3011</v>
      </c>
      <c r="E26" s="37">
        <v>2</v>
      </c>
      <c r="F26" s="37">
        <v>377</v>
      </c>
      <c r="G26" s="38">
        <v>13.599114754098361</v>
      </c>
      <c r="K26">
        <f>INDEX(OutputValues,22,$J$4)</f>
        <v>82954.600000000006</v>
      </c>
    </row>
    <row r="27" spans="1:11" x14ac:dyDescent="0.35">
      <c r="A27">
        <v>6200</v>
      </c>
      <c r="B27" s="24">
        <v>84314</v>
      </c>
      <c r="C27" s="37">
        <v>2756</v>
      </c>
      <c r="D27" s="37">
        <v>3061</v>
      </c>
      <c r="E27" s="37">
        <v>0</v>
      </c>
      <c r="F27" s="37">
        <v>383</v>
      </c>
      <c r="G27" s="38">
        <v>13.599032258064517</v>
      </c>
      <c r="K27">
        <f>INDEX(OutputValues,23,$J$4)</f>
        <v>84314</v>
      </c>
    </row>
    <row r="28" spans="1:11" x14ac:dyDescent="0.35">
      <c r="A28">
        <v>6300</v>
      </c>
      <c r="B28" s="24">
        <v>85679.6</v>
      </c>
      <c r="C28" s="37">
        <v>2808</v>
      </c>
      <c r="D28" s="37">
        <v>3112</v>
      </c>
      <c r="E28" s="37">
        <v>0</v>
      </c>
      <c r="F28" s="37">
        <v>380</v>
      </c>
      <c r="G28" s="38">
        <v>13.599936507936508</v>
      </c>
      <c r="K28">
        <f>INDEX(OutputValues,24,$J$4)</f>
        <v>85679.6</v>
      </c>
    </row>
    <row r="29" spans="1:11" x14ac:dyDescent="0.35">
      <c r="A29">
        <v>6400</v>
      </c>
      <c r="B29" s="24">
        <v>87033.5</v>
      </c>
      <c r="C29" s="37">
        <v>2845</v>
      </c>
      <c r="D29" s="37">
        <v>3160</v>
      </c>
      <c r="E29" s="37">
        <v>0</v>
      </c>
      <c r="F29" s="37">
        <v>395</v>
      </c>
      <c r="G29" s="38">
        <v>13.598984375000001</v>
      </c>
      <c r="K29">
        <f>INDEX(OutputValues,25,$J$4)</f>
        <v>87033.5</v>
      </c>
    </row>
    <row r="30" spans="1:11" x14ac:dyDescent="0.35">
      <c r="A30">
        <v>6500</v>
      </c>
      <c r="B30" s="24">
        <v>88393</v>
      </c>
      <c r="C30" s="37">
        <v>2890</v>
      </c>
      <c r="D30" s="37">
        <v>3210</v>
      </c>
      <c r="E30" s="37">
        <v>0</v>
      </c>
      <c r="F30" s="37">
        <v>400</v>
      </c>
      <c r="G30" s="38">
        <v>13.598923076923077</v>
      </c>
      <c r="K30">
        <f>INDEX(OutputValues,26,$J$4)</f>
        <v>88393</v>
      </c>
    </row>
    <row r="31" spans="1:11" x14ac:dyDescent="0.35">
      <c r="A31">
        <v>6600</v>
      </c>
      <c r="B31" s="24">
        <v>89754.7</v>
      </c>
      <c r="C31" s="37">
        <v>2933</v>
      </c>
      <c r="D31" s="37">
        <v>3258</v>
      </c>
      <c r="E31" s="37">
        <v>2</v>
      </c>
      <c r="F31" s="37">
        <v>407</v>
      </c>
      <c r="G31" s="38">
        <v>13.599196969696969</v>
      </c>
      <c r="K31">
        <f>INDEX(OutputValues,27,$J$4)</f>
        <v>89754.7</v>
      </c>
    </row>
    <row r="32" spans="1:11" x14ac:dyDescent="0.35">
      <c r="A32">
        <v>6700</v>
      </c>
      <c r="B32" s="24">
        <v>91113</v>
      </c>
      <c r="C32" s="37">
        <v>2978</v>
      </c>
      <c r="D32" s="37">
        <v>3308</v>
      </c>
      <c r="E32" s="37">
        <v>0</v>
      </c>
      <c r="F32" s="37">
        <v>414</v>
      </c>
      <c r="G32" s="38">
        <v>13.598955223880598</v>
      </c>
      <c r="K32">
        <f>INDEX(OutputValues,28,$J$4)</f>
        <v>91113</v>
      </c>
    </row>
    <row r="33" spans="1:11" x14ac:dyDescent="0.35">
      <c r="A33">
        <v>6800</v>
      </c>
      <c r="B33" s="24">
        <v>92474.2</v>
      </c>
      <c r="C33" s="37">
        <v>3022</v>
      </c>
      <c r="D33" s="37">
        <v>3357</v>
      </c>
      <c r="E33" s="37">
        <v>2</v>
      </c>
      <c r="F33" s="37">
        <v>419</v>
      </c>
      <c r="G33" s="38">
        <v>13.599147058823531</v>
      </c>
      <c r="K33">
        <f>INDEX(OutputValues,29,$J$4)</f>
        <v>92474.2</v>
      </c>
    </row>
    <row r="34" spans="1:11" x14ac:dyDescent="0.35">
      <c r="A34">
        <v>6900</v>
      </c>
      <c r="B34" s="24">
        <v>93832.5</v>
      </c>
      <c r="C34" s="37">
        <v>3067</v>
      </c>
      <c r="D34" s="37">
        <v>3407</v>
      </c>
      <c r="E34" s="37">
        <v>0</v>
      </c>
      <c r="F34" s="37">
        <v>426</v>
      </c>
      <c r="G34" s="38">
        <v>13.598913043478261</v>
      </c>
      <c r="K34">
        <f>INDEX(OutputValues,30,$J$4)</f>
        <v>93832.5</v>
      </c>
    </row>
    <row r="35" spans="1:11" x14ac:dyDescent="0.35">
      <c r="A35">
        <v>7000</v>
      </c>
      <c r="B35" s="26">
        <v>95193.1</v>
      </c>
      <c r="C35" s="39">
        <v>3111</v>
      </c>
      <c r="D35" s="39">
        <v>3456</v>
      </c>
      <c r="E35" s="39">
        <v>1</v>
      </c>
      <c r="F35" s="39">
        <v>432</v>
      </c>
      <c r="G35" s="40">
        <v>13.599014285714286</v>
      </c>
      <c r="K35">
        <f>INDEX(OutputValues,31,$J$4)</f>
        <v>95193.1</v>
      </c>
    </row>
    <row r="36" spans="1:11" x14ac:dyDescent="0.35">
      <c r="B36" t="s">
        <v>33</v>
      </c>
      <c r="C36" t="s">
        <v>90</v>
      </c>
      <c r="D36" t="s">
        <v>91</v>
      </c>
      <c r="E36" t="s">
        <v>92</v>
      </c>
      <c r="F36" t="s">
        <v>93</v>
      </c>
      <c r="G36" t="s">
        <v>94</v>
      </c>
    </row>
  </sheetData>
  <dataValidations count="1">
    <dataValidation type="list" allowBlank="1" showInputMessage="1" showErrorMessage="1" sqref="K4" xr:uid="{A1C9A013-E4E3-467C-9E5F-F0AD9B3DA704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10719E-D8E7-4E2E-890E-B6E12A2A2285}">
  <dimension ref="A1:H24"/>
  <sheetViews>
    <sheetView showGridLines="0" topLeftCell="A7" workbookViewId="0">
      <selection activeCell="C19" sqref="C19"/>
    </sheetView>
  </sheetViews>
  <sheetFormatPr defaultRowHeight="14.5" x14ac:dyDescent="0.35"/>
  <cols>
    <col min="1" max="1" width="2.1796875" customWidth="1"/>
    <col min="2" max="2" width="5.90625" bestFit="1" customWidth="1"/>
    <col min="3" max="3" width="24.6328125" bestFit="1" customWidth="1"/>
    <col min="4" max="4" width="11.81640625" bestFit="1" customWidth="1"/>
    <col min="5" max="5" width="12.453125" bestFit="1" customWidth="1"/>
    <col min="6" max="8" width="11.81640625" bestFit="1" customWidth="1"/>
  </cols>
  <sheetData>
    <row r="1" spans="1:8" x14ac:dyDescent="0.35">
      <c r="A1" s="6" t="s">
        <v>26</v>
      </c>
    </row>
    <row r="2" spans="1:8" x14ac:dyDescent="0.35">
      <c r="A2" s="6" t="s">
        <v>139</v>
      </c>
    </row>
    <row r="3" spans="1:8" x14ac:dyDescent="0.35">
      <c r="A3" s="6" t="s">
        <v>142</v>
      </c>
    </row>
    <row r="6" spans="1:8" ht="15" thickBot="1" x14ac:dyDescent="0.4">
      <c r="A6" t="s">
        <v>27</v>
      </c>
    </row>
    <row r="7" spans="1:8" x14ac:dyDescent="0.35">
      <c r="B7" s="9"/>
      <c r="C7" s="9"/>
      <c r="D7" s="9" t="s">
        <v>30</v>
      </c>
      <c r="E7" s="9" t="s">
        <v>32</v>
      </c>
      <c r="F7" s="9" t="s">
        <v>34</v>
      </c>
      <c r="G7" s="9" t="s">
        <v>36</v>
      </c>
      <c r="H7" s="9" t="s">
        <v>36</v>
      </c>
    </row>
    <row r="8" spans="1:8" ht="15" thickBot="1" x14ac:dyDescent="0.4">
      <c r="B8" s="10" t="s">
        <v>28</v>
      </c>
      <c r="C8" s="10" t="s">
        <v>29</v>
      </c>
      <c r="D8" s="10" t="s">
        <v>31</v>
      </c>
      <c r="E8" s="10" t="s">
        <v>33</v>
      </c>
      <c r="F8" s="10" t="s">
        <v>35</v>
      </c>
      <c r="G8" s="10" t="s">
        <v>37</v>
      </c>
      <c r="H8" s="10" t="s">
        <v>38</v>
      </c>
    </row>
    <row r="9" spans="1:8" x14ac:dyDescent="0.35">
      <c r="B9" s="7" t="s">
        <v>43</v>
      </c>
      <c r="C9" s="7" t="s">
        <v>44</v>
      </c>
      <c r="D9" s="7">
        <v>2311.1109733581579</v>
      </c>
      <c r="E9" s="7">
        <v>0</v>
      </c>
      <c r="F9" s="7">
        <v>15</v>
      </c>
      <c r="G9" s="7">
        <v>1.4377777777777561</v>
      </c>
      <c r="H9" s="7">
        <v>0.9222222222222104</v>
      </c>
    </row>
    <row r="10" spans="1:8" x14ac:dyDescent="0.35">
      <c r="B10" s="7" t="s">
        <v>45</v>
      </c>
      <c r="C10" s="7" t="s">
        <v>46</v>
      </c>
      <c r="D10" s="7">
        <v>2567.9012192620098</v>
      </c>
      <c r="E10" s="7">
        <v>0</v>
      </c>
      <c r="F10" s="7">
        <v>12.3</v>
      </c>
      <c r="G10" s="7">
        <v>1.5780487804877916</v>
      </c>
      <c r="H10" s="7">
        <v>8.2999999999992173</v>
      </c>
    </row>
    <row r="11" spans="1:8" x14ac:dyDescent="0.35">
      <c r="B11" s="7" t="s">
        <v>47</v>
      </c>
      <c r="C11" s="7" t="s">
        <v>48</v>
      </c>
      <c r="D11" s="7">
        <v>0</v>
      </c>
      <c r="E11" s="7">
        <v>0.79876543209875495</v>
      </c>
      <c r="F11" s="7">
        <v>14.499999999999996</v>
      </c>
      <c r="G11" s="7">
        <v>1E+30</v>
      </c>
      <c r="H11" s="7">
        <v>0.79876543209875495</v>
      </c>
    </row>
    <row r="12" spans="1:8" ht="15" thickBot="1" x14ac:dyDescent="0.4">
      <c r="B12" s="8" t="s">
        <v>49</v>
      </c>
      <c r="C12" s="8" t="s">
        <v>50</v>
      </c>
      <c r="D12" s="8">
        <v>320.98780737983157</v>
      </c>
      <c r="E12" s="8">
        <v>0</v>
      </c>
      <c r="F12" s="8">
        <v>13.899999999999999</v>
      </c>
      <c r="G12" s="8">
        <v>0.82999999999998253</v>
      </c>
      <c r="H12" s="8">
        <v>1.6000000000000034</v>
      </c>
    </row>
    <row r="14" spans="1:8" ht="15" thickBot="1" x14ac:dyDescent="0.4">
      <c r="A14" t="s">
        <v>16</v>
      </c>
    </row>
    <row r="15" spans="1:8" x14ac:dyDescent="0.35">
      <c r="B15" s="9"/>
      <c r="C15" s="9"/>
      <c r="D15" s="9" t="s">
        <v>30</v>
      </c>
      <c r="E15" s="9" t="s">
        <v>39</v>
      </c>
      <c r="F15" s="9" t="s">
        <v>41</v>
      </c>
      <c r="G15" s="9" t="s">
        <v>36</v>
      </c>
      <c r="H15" s="9" t="s">
        <v>36</v>
      </c>
    </row>
    <row r="16" spans="1:8" ht="15" thickBot="1" x14ac:dyDescent="0.4">
      <c r="B16" s="10" t="s">
        <v>28</v>
      </c>
      <c r="C16" s="10" t="s">
        <v>29</v>
      </c>
      <c r="D16" s="10" t="s">
        <v>31</v>
      </c>
      <c r="E16" s="10" t="s">
        <v>40</v>
      </c>
      <c r="F16" s="10" t="s">
        <v>42</v>
      </c>
      <c r="G16" s="10" t="s">
        <v>37</v>
      </c>
      <c r="H16" s="10" t="s">
        <v>38</v>
      </c>
    </row>
    <row r="17" spans="2:8" x14ac:dyDescent="0.35">
      <c r="B17" s="7" t="s">
        <v>113</v>
      </c>
      <c r="C17" s="7" t="s">
        <v>51</v>
      </c>
      <c r="D17" s="7">
        <v>5200</v>
      </c>
      <c r="E17" s="7">
        <v>-12.033333333333287</v>
      </c>
      <c r="F17" s="7">
        <v>5200</v>
      </c>
      <c r="G17" s="7">
        <v>3.6338242344894178</v>
      </c>
      <c r="H17" s="7">
        <v>27.513240632556357</v>
      </c>
    </row>
    <row r="18" spans="2:8" x14ac:dyDescent="0.35">
      <c r="B18" s="7" t="s">
        <v>114</v>
      </c>
      <c r="C18" s="7" t="s">
        <v>52</v>
      </c>
      <c r="D18" s="7">
        <v>0.93999999761581421</v>
      </c>
      <c r="E18" s="7">
        <v>53283.950617283168</v>
      </c>
      <c r="F18" s="7">
        <v>0.93999999761581421</v>
      </c>
      <c r="G18" s="7">
        <v>5.0000023841857326E-3</v>
      </c>
      <c r="H18" s="7">
        <v>3.5499997615813933E-2</v>
      </c>
    </row>
    <row r="19" spans="2:8" x14ac:dyDescent="0.35">
      <c r="B19" s="7" t="s">
        <v>115</v>
      </c>
      <c r="C19" s="7" t="s">
        <v>53</v>
      </c>
      <c r="D19" s="7">
        <v>0.9</v>
      </c>
      <c r="E19" s="7">
        <v>92444.444444445006</v>
      </c>
      <c r="F19" s="7">
        <v>0.9</v>
      </c>
      <c r="G19" s="7">
        <v>2.2569445818662118E-2</v>
      </c>
      <c r="H19" s="7">
        <v>5.5555582046520348E-4</v>
      </c>
    </row>
    <row r="20" spans="2:8" x14ac:dyDescent="0.35">
      <c r="B20" s="7" t="s">
        <v>55</v>
      </c>
      <c r="C20" s="7" t="s">
        <v>54</v>
      </c>
      <c r="D20" s="7">
        <v>13.598765407668221</v>
      </c>
      <c r="E20" s="7">
        <v>0</v>
      </c>
      <c r="F20" s="7">
        <v>14</v>
      </c>
      <c r="G20" s="7">
        <v>1E+30</v>
      </c>
      <c r="H20" s="7">
        <v>0.40123459233177522</v>
      </c>
    </row>
    <row r="21" spans="2:8" x14ac:dyDescent="0.35">
      <c r="B21" s="7" t="s">
        <v>86</v>
      </c>
      <c r="C21" s="7" t="s">
        <v>70</v>
      </c>
      <c r="D21" s="7">
        <v>2311.1109733581579</v>
      </c>
      <c r="E21" s="7">
        <v>0</v>
      </c>
      <c r="F21" s="7">
        <v>0</v>
      </c>
      <c r="G21" s="7">
        <v>1E+30</v>
      </c>
      <c r="H21" s="7">
        <v>288.88902664184184</v>
      </c>
    </row>
    <row r="22" spans="2:8" x14ac:dyDescent="0.35">
      <c r="B22" s="7" t="s">
        <v>87</v>
      </c>
      <c r="C22" s="7" t="s">
        <v>72</v>
      </c>
      <c r="D22" s="7">
        <v>2567.9012192620098</v>
      </c>
      <c r="E22" s="7">
        <v>0</v>
      </c>
      <c r="F22" s="7">
        <v>0</v>
      </c>
      <c r="G22" s="7">
        <v>1E+30</v>
      </c>
      <c r="H22" s="7">
        <v>32.098780737989749</v>
      </c>
    </row>
    <row r="23" spans="2:8" x14ac:dyDescent="0.35">
      <c r="B23" s="7" t="s">
        <v>88</v>
      </c>
      <c r="C23" s="7" t="s">
        <v>74</v>
      </c>
      <c r="D23" s="7">
        <v>0</v>
      </c>
      <c r="E23" s="7">
        <v>0</v>
      </c>
      <c r="F23" s="7">
        <v>0</v>
      </c>
      <c r="G23" s="7">
        <v>1E+30</v>
      </c>
      <c r="H23" s="7">
        <v>2600</v>
      </c>
    </row>
    <row r="24" spans="2:8" ht="15" thickBot="1" x14ac:dyDescent="0.4">
      <c r="B24" s="8" t="s">
        <v>89</v>
      </c>
      <c r="C24" s="8" t="s">
        <v>76</v>
      </c>
      <c r="D24" s="8">
        <v>320.98780737983157</v>
      </c>
      <c r="E24" s="8">
        <v>0</v>
      </c>
      <c r="F24" s="8">
        <v>0</v>
      </c>
      <c r="G24" s="8">
        <v>1E+30</v>
      </c>
      <c r="H24" s="8">
        <v>2279.0121926201682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AC4C4E-9D2B-452C-ABCD-E68815DCF9DB}">
  <dimension ref="A1:AZ117"/>
  <sheetViews>
    <sheetView workbookViewId="0">
      <selection activeCell="H11" sqref="H11"/>
    </sheetView>
  </sheetViews>
  <sheetFormatPr defaultRowHeight="14.5" x14ac:dyDescent="0.35"/>
  <cols>
    <col min="1" max="1" width="5.90625" bestFit="1" customWidth="1"/>
    <col min="2" max="11" width="11.1796875" bestFit="1" customWidth="1"/>
  </cols>
  <sheetData>
    <row r="1" spans="1:52" x14ac:dyDescent="0.35">
      <c r="A1" s="6" t="s">
        <v>100</v>
      </c>
      <c r="N1" s="21" t="str">
        <f>CONCATENATE("Sensitivity of ",$N$4," to ","Avg Quality")</f>
        <v>Sensitivity of $B$21 to Avg Quality</v>
      </c>
      <c r="R1" s="21" t="str">
        <f>CONCATENATE("Sensitivity of ",$R$4," to ","Order Quantity")</f>
        <v>Sensitivity of $B$21 to Order Quantity</v>
      </c>
    </row>
    <row r="2" spans="1:52" x14ac:dyDescent="0.35">
      <c r="N2" t="s">
        <v>102</v>
      </c>
      <c r="R2" t="s">
        <v>105</v>
      </c>
      <c r="AZ2" t="s">
        <v>86</v>
      </c>
    </row>
    <row r="3" spans="1:52" x14ac:dyDescent="0.35">
      <c r="A3" t="s">
        <v>101</v>
      </c>
      <c r="N3" t="s">
        <v>103</v>
      </c>
      <c r="O3" t="s">
        <v>104</v>
      </c>
      <c r="R3" t="s">
        <v>103</v>
      </c>
      <c r="S3" t="s">
        <v>106</v>
      </c>
      <c r="AZ3" t="s">
        <v>87</v>
      </c>
    </row>
    <row r="4" spans="1:52" ht="32.5" x14ac:dyDescent="0.35">
      <c r="A4" s="43" t="s">
        <v>86</v>
      </c>
      <c r="B4">
        <v>0.5</v>
      </c>
      <c r="C4">
        <v>0.55000001192092896</v>
      </c>
      <c r="D4">
        <v>0.60000002384185791</v>
      </c>
      <c r="E4">
        <v>0.64999997615814209</v>
      </c>
      <c r="F4">
        <v>0.69999998807907104</v>
      </c>
      <c r="G4">
        <v>0.75</v>
      </c>
      <c r="H4">
        <v>0.80000001192092896</v>
      </c>
      <c r="I4">
        <v>0.85000002384185791</v>
      </c>
      <c r="J4">
        <v>0.89999997615814209</v>
      </c>
      <c r="K4">
        <v>0.94999998807907104</v>
      </c>
      <c r="L4">
        <v>1</v>
      </c>
      <c r="M4" s="21">
        <f>MATCH($N$4,OutputAddresses,0)</f>
        <v>1</v>
      </c>
      <c r="N4" s="20" t="s">
        <v>86</v>
      </c>
      <c r="O4" s="44">
        <v>3000</v>
      </c>
      <c r="P4" s="21">
        <f>MATCH($O$4,InputValues1,0)</f>
        <v>1</v>
      </c>
      <c r="Q4" s="21">
        <f>MATCH($R$4,OutputAddresses,0)</f>
        <v>1</v>
      </c>
      <c r="R4" s="20" t="s">
        <v>86</v>
      </c>
      <c r="S4" s="44">
        <v>0.5</v>
      </c>
      <c r="T4" s="21">
        <f>MATCH($S$4,InputValues2,0)</f>
        <v>1</v>
      </c>
      <c r="AZ4" t="s">
        <v>88</v>
      </c>
    </row>
    <row r="5" spans="1:52" x14ac:dyDescent="0.35">
      <c r="A5">
        <v>3000</v>
      </c>
      <c r="B5" s="45" t="s">
        <v>107</v>
      </c>
      <c r="C5" s="49" t="s">
        <v>107</v>
      </c>
      <c r="D5" s="49" t="s">
        <v>107</v>
      </c>
      <c r="E5" s="49" t="s">
        <v>107</v>
      </c>
      <c r="F5" s="49" t="s">
        <v>107</v>
      </c>
      <c r="G5" s="49" t="s">
        <v>107</v>
      </c>
      <c r="H5" s="49" t="s">
        <v>107</v>
      </c>
      <c r="I5" s="49" t="s">
        <v>107</v>
      </c>
      <c r="J5" s="49" t="s">
        <v>107</v>
      </c>
      <c r="K5" s="49" t="s">
        <v>107</v>
      </c>
      <c r="L5" s="52" t="s">
        <v>107</v>
      </c>
      <c r="M5" s="21" t="str">
        <f>"OutputValues_"&amp;$M$4</f>
        <v>OutputValues_1</v>
      </c>
      <c r="N5" t="str">
        <f ca="1">INDEX(INDIRECT($M$5),$P$4,1)</f>
        <v>Not feasible</v>
      </c>
      <c r="Q5" s="21" t="str">
        <f>"OutputValues_"&amp;$Q$4</f>
        <v>OutputValues_1</v>
      </c>
      <c r="R5" t="str">
        <f ca="1">INDEX(INDIRECT($Q$5),1,$T$4)</f>
        <v>Not feasible</v>
      </c>
      <c r="AZ5" t="s">
        <v>89</v>
      </c>
    </row>
    <row r="6" spans="1:52" x14ac:dyDescent="0.35">
      <c r="A6">
        <v>3200</v>
      </c>
      <c r="B6" s="46" t="s">
        <v>107</v>
      </c>
      <c r="C6" s="50" t="s">
        <v>107</v>
      </c>
      <c r="D6" s="50" t="s">
        <v>107</v>
      </c>
      <c r="E6" s="50" t="s">
        <v>107</v>
      </c>
      <c r="F6" s="50" t="s">
        <v>107</v>
      </c>
      <c r="G6" s="50" t="s">
        <v>107</v>
      </c>
      <c r="H6" s="50" t="s">
        <v>107</v>
      </c>
      <c r="I6" s="50" t="s">
        <v>107</v>
      </c>
      <c r="J6" s="50" t="s">
        <v>107</v>
      </c>
      <c r="K6" s="50" t="s">
        <v>107</v>
      </c>
      <c r="L6" s="53" t="s">
        <v>107</v>
      </c>
      <c r="N6" t="str">
        <f ca="1">INDEX(INDIRECT($M$5),$P$4,2)</f>
        <v>Not feasible</v>
      </c>
      <c r="R6" t="str">
        <f ca="1">INDEX(INDIRECT($Q$5),2,$T$4)</f>
        <v>Not feasible</v>
      </c>
      <c r="AZ6" t="s">
        <v>82</v>
      </c>
    </row>
    <row r="7" spans="1:52" x14ac:dyDescent="0.35">
      <c r="A7">
        <v>3400</v>
      </c>
      <c r="B7" s="46" t="s">
        <v>107</v>
      </c>
      <c r="C7" s="50" t="s">
        <v>107</v>
      </c>
      <c r="D7" s="50" t="s">
        <v>107</v>
      </c>
      <c r="E7" s="50" t="s">
        <v>107</v>
      </c>
      <c r="F7" s="50" t="s">
        <v>107</v>
      </c>
      <c r="G7" s="50" t="s">
        <v>107</v>
      </c>
      <c r="H7" s="50" t="s">
        <v>107</v>
      </c>
      <c r="I7" s="50" t="s">
        <v>107</v>
      </c>
      <c r="J7" s="50" t="s">
        <v>107</v>
      </c>
      <c r="K7" s="50" t="s">
        <v>107</v>
      </c>
      <c r="L7" s="53" t="s">
        <v>107</v>
      </c>
      <c r="N7" t="str">
        <f ca="1">INDEX(INDIRECT($M$5),$P$4,3)</f>
        <v>Not feasible</v>
      </c>
      <c r="R7" t="str">
        <f ca="1">INDEX(INDIRECT($Q$5),3,$T$4)</f>
        <v>Not feasible</v>
      </c>
    </row>
    <row r="8" spans="1:52" x14ac:dyDescent="0.35">
      <c r="A8">
        <v>3600</v>
      </c>
      <c r="B8" s="46" t="s">
        <v>107</v>
      </c>
      <c r="C8" s="50" t="s">
        <v>107</v>
      </c>
      <c r="D8" s="50" t="s">
        <v>107</v>
      </c>
      <c r="E8" s="50" t="s">
        <v>107</v>
      </c>
      <c r="F8" s="50" t="s">
        <v>107</v>
      </c>
      <c r="G8" s="50" t="s">
        <v>107</v>
      </c>
      <c r="H8" s="50" t="s">
        <v>107</v>
      </c>
      <c r="I8" s="50" t="s">
        <v>107</v>
      </c>
      <c r="J8" s="50" t="s">
        <v>107</v>
      </c>
      <c r="K8" s="50" t="s">
        <v>107</v>
      </c>
      <c r="L8" s="53" t="s">
        <v>107</v>
      </c>
      <c r="N8" t="str">
        <f ca="1">INDEX(INDIRECT($M$5),$P$4,4)</f>
        <v>Not feasible</v>
      </c>
      <c r="R8" t="str">
        <f ca="1">INDEX(INDIRECT($Q$5),4,$T$4)</f>
        <v>Not feasible</v>
      </c>
    </row>
    <row r="9" spans="1:52" x14ac:dyDescent="0.35">
      <c r="A9">
        <v>3800</v>
      </c>
      <c r="B9" s="46" t="s">
        <v>107</v>
      </c>
      <c r="C9" s="50" t="s">
        <v>107</v>
      </c>
      <c r="D9" s="50" t="s">
        <v>107</v>
      </c>
      <c r="E9" s="50" t="s">
        <v>107</v>
      </c>
      <c r="F9" s="50" t="s">
        <v>107</v>
      </c>
      <c r="G9" s="50" t="s">
        <v>107</v>
      </c>
      <c r="H9" s="50" t="s">
        <v>107</v>
      </c>
      <c r="I9" s="50" t="s">
        <v>107</v>
      </c>
      <c r="J9" s="50" t="s">
        <v>107</v>
      </c>
      <c r="K9" s="50" t="s">
        <v>107</v>
      </c>
      <c r="L9" s="53" t="s">
        <v>107</v>
      </c>
      <c r="N9" t="str">
        <f ca="1">INDEX(INDIRECT($M$5),$P$4,5)</f>
        <v>Not feasible</v>
      </c>
      <c r="R9" t="str">
        <f ca="1">INDEX(INDIRECT($Q$5),5,$T$4)</f>
        <v>Not feasible</v>
      </c>
    </row>
    <row r="10" spans="1:52" x14ac:dyDescent="0.35">
      <c r="A10">
        <v>4000</v>
      </c>
      <c r="B10" s="46" t="s">
        <v>107</v>
      </c>
      <c r="C10" s="50" t="s">
        <v>107</v>
      </c>
      <c r="D10" s="50" t="s">
        <v>107</v>
      </c>
      <c r="E10" s="50" t="s">
        <v>107</v>
      </c>
      <c r="F10" s="50" t="s">
        <v>107</v>
      </c>
      <c r="G10" s="50" t="s">
        <v>107</v>
      </c>
      <c r="H10" s="50" t="s">
        <v>107</v>
      </c>
      <c r="I10" s="50" t="s">
        <v>107</v>
      </c>
      <c r="J10" s="50" t="s">
        <v>107</v>
      </c>
      <c r="K10" s="50" t="s">
        <v>107</v>
      </c>
      <c r="L10" s="53" t="s">
        <v>107</v>
      </c>
      <c r="N10" t="str">
        <f ca="1">INDEX(INDIRECT($M$5),$P$4,6)</f>
        <v>Not feasible</v>
      </c>
      <c r="R10" t="str">
        <f ca="1">INDEX(INDIRECT($Q$5),6,$T$4)</f>
        <v>Not feasible</v>
      </c>
    </row>
    <row r="11" spans="1:52" x14ac:dyDescent="0.35">
      <c r="A11">
        <v>4200</v>
      </c>
      <c r="B11" s="46" t="s">
        <v>107</v>
      </c>
      <c r="C11" s="50" t="s">
        <v>107</v>
      </c>
      <c r="D11" s="50" t="s">
        <v>107</v>
      </c>
      <c r="E11" s="50" t="s">
        <v>107</v>
      </c>
      <c r="F11" s="50" t="s">
        <v>107</v>
      </c>
      <c r="G11" s="50" t="s">
        <v>107</v>
      </c>
      <c r="H11" s="50" t="s">
        <v>107</v>
      </c>
      <c r="I11" s="50" t="s">
        <v>107</v>
      </c>
      <c r="J11" s="50" t="s">
        <v>107</v>
      </c>
      <c r="K11" s="50" t="s">
        <v>107</v>
      </c>
      <c r="L11" s="53" t="s">
        <v>107</v>
      </c>
      <c r="N11" t="str">
        <f ca="1">INDEX(INDIRECT($M$5),$P$4,7)</f>
        <v>Not feasible</v>
      </c>
      <c r="R11" t="str">
        <f ca="1">INDEX(INDIRECT($Q$5),7,$T$4)</f>
        <v>Not feasible</v>
      </c>
    </row>
    <row r="12" spans="1:52" x14ac:dyDescent="0.35">
      <c r="A12">
        <v>4400</v>
      </c>
      <c r="B12" s="46" t="s">
        <v>107</v>
      </c>
      <c r="C12" s="50" t="s">
        <v>107</v>
      </c>
      <c r="D12" s="50" t="s">
        <v>107</v>
      </c>
      <c r="E12" s="50" t="s">
        <v>107</v>
      </c>
      <c r="F12" s="50" t="s">
        <v>107</v>
      </c>
      <c r="G12" s="50" t="s">
        <v>107</v>
      </c>
      <c r="H12" s="50" t="s">
        <v>107</v>
      </c>
      <c r="I12" s="50" t="s">
        <v>107</v>
      </c>
      <c r="J12" s="50" t="s">
        <v>107</v>
      </c>
      <c r="K12" s="50" t="s">
        <v>107</v>
      </c>
      <c r="L12" s="53" t="s">
        <v>107</v>
      </c>
      <c r="N12" t="str">
        <f ca="1">INDEX(INDIRECT($M$5),$P$4,8)</f>
        <v>Not feasible</v>
      </c>
      <c r="R12" t="str">
        <f ca="1">INDEX(INDIRECT($Q$5),8,$T$4)</f>
        <v>Not feasible</v>
      </c>
    </row>
    <row r="13" spans="1:52" x14ac:dyDescent="0.35">
      <c r="A13">
        <v>4600</v>
      </c>
      <c r="B13" s="46" t="s">
        <v>107</v>
      </c>
      <c r="C13" s="50" t="s">
        <v>107</v>
      </c>
      <c r="D13" s="50" t="s">
        <v>107</v>
      </c>
      <c r="E13" s="50" t="s">
        <v>107</v>
      </c>
      <c r="F13" s="50" t="s">
        <v>107</v>
      </c>
      <c r="G13" s="50" t="s">
        <v>107</v>
      </c>
      <c r="H13" s="50" t="s">
        <v>107</v>
      </c>
      <c r="I13" s="50" t="s">
        <v>107</v>
      </c>
      <c r="J13" s="50" t="s">
        <v>107</v>
      </c>
      <c r="K13" s="50" t="s">
        <v>107</v>
      </c>
      <c r="L13" s="53" t="s">
        <v>107</v>
      </c>
      <c r="N13" t="str">
        <f ca="1">INDEX(INDIRECT($M$5),$P$4,9)</f>
        <v>Not feasible</v>
      </c>
      <c r="R13" t="str">
        <f ca="1">INDEX(INDIRECT($Q$5),9,$T$4)</f>
        <v>Not feasible</v>
      </c>
    </row>
    <row r="14" spans="1:52" x14ac:dyDescent="0.35">
      <c r="A14">
        <v>4800</v>
      </c>
      <c r="B14" s="46" t="s">
        <v>107</v>
      </c>
      <c r="C14" s="50" t="s">
        <v>107</v>
      </c>
      <c r="D14" s="50" t="s">
        <v>107</v>
      </c>
      <c r="E14" s="50" t="s">
        <v>107</v>
      </c>
      <c r="F14" s="50" t="s">
        <v>107</v>
      </c>
      <c r="G14" s="50" t="s">
        <v>107</v>
      </c>
      <c r="H14" s="50" t="s">
        <v>107</v>
      </c>
      <c r="I14" s="50" t="s">
        <v>107</v>
      </c>
      <c r="J14" s="50" t="s">
        <v>107</v>
      </c>
      <c r="K14" s="50" t="s">
        <v>107</v>
      </c>
      <c r="L14" s="53" t="s">
        <v>107</v>
      </c>
      <c r="N14" t="str">
        <f ca="1">INDEX(INDIRECT($M$5),$P$4,10)</f>
        <v>Not feasible</v>
      </c>
      <c r="R14" t="str">
        <f ca="1">INDEX(INDIRECT($Q$5),10,$T$4)</f>
        <v>Not feasible</v>
      </c>
    </row>
    <row r="15" spans="1:52" x14ac:dyDescent="0.35">
      <c r="A15">
        <v>5000</v>
      </c>
      <c r="B15" s="47">
        <v>2050</v>
      </c>
      <c r="C15">
        <v>2050</v>
      </c>
      <c r="D15">
        <v>2050</v>
      </c>
      <c r="E15">
        <v>2050</v>
      </c>
      <c r="F15">
        <v>2050</v>
      </c>
      <c r="G15">
        <v>2050</v>
      </c>
      <c r="H15">
        <v>2050</v>
      </c>
      <c r="I15">
        <v>2050</v>
      </c>
      <c r="J15">
        <v>2050</v>
      </c>
      <c r="K15" s="50" t="s">
        <v>107</v>
      </c>
      <c r="L15" s="53" t="s">
        <v>107</v>
      </c>
      <c r="N15" t="str">
        <f ca="1">INDEX(INDIRECT($M$5),$P$4,11)</f>
        <v>Not feasible</v>
      </c>
      <c r="R15">
        <f ca="1">INDEX(INDIRECT($Q$5),11,$T$4)</f>
        <v>2050</v>
      </c>
    </row>
    <row r="16" spans="1:52" x14ac:dyDescent="0.35">
      <c r="A16">
        <v>5200</v>
      </c>
      <c r="B16" s="47">
        <v>260</v>
      </c>
      <c r="C16">
        <v>260</v>
      </c>
      <c r="D16">
        <v>260</v>
      </c>
      <c r="E16">
        <v>260</v>
      </c>
      <c r="F16">
        <v>260</v>
      </c>
      <c r="G16">
        <v>260</v>
      </c>
      <c r="H16">
        <v>260</v>
      </c>
      <c r="I16">
        <v>260</v>
      </c>
      <c r="J16">
        <v>260</v>
      </c>
      <c r="K16">
        <v>2600</v>
      </c>
      <c r="L16" s="53" t="s">
        <v>107</v>
      </c>
      <c r="R16">
        <f ca="1">INDEX(INDIRECT($Q$5),12,$T$4)</f>
        <v>260</v>
      </c>
    </row>
    <row r="17" spans="1:18" x14ac:dyDescent="0.35">
      <c r="A17">
        <v>5400</v>
      </c>
      <c r="B17" s="4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53" t="s">
        <v>107</v>
      </c>
      <c r="R17">
        <f ca="1">INDEX(INDIRECT($Q$5),13,$T$4)</f>
        <v>0</v>
      </c>
    </row>
    <row r="18" spans="1:18" x14ac:dyDescent="0.35">
      <c r="A18">
        <v>5600</v>
      </c>
      <c r="B18" s="46" t="s">
        <v>107</v>
      </c>
      <c r="C18" s="50" t="s">
        <v>107</v>
      </c>
      <c r="D18" s="50" t="s">
        <v>107</v>
      </c>
      <c r="E18" s="50" t="s">
        <v>107</v>
      </c>
      <c r="F18" s="50" t="s">
        <v>107</v>
      </c>
      <c r="G18" s="50" t="s">
        <v>107</v>
      </c>
      <c r="H18" s="50" t="s">
        <v>107</v>
      </c>
      <c r="I18" s="50" t="s">
        <v>107</v>
      </c>
      <c r="J18" s="50" t="s">
        <v>107</v>
      </c>
      <c r="K18" s="50" t="s">
        <v>107</v>
      </c>
      <c r="L18" s="53" t="s">
        <v>107</v>
      </c>
      <c r="R18" t="str">
        <f ca="1">INDEX(INDIRECT($Q$5),14,$T$4)</f>
        <v>Not feasible</v>
      </c>
    </row>
    <row r="19" spans="1:18" x14ac:dyDescent="0.35">
      <c r="A19">
        <v>5800</v>
      </c>
      <c r="B19" s="46" t="s">
        <v>107</v>
      </c>
      <c r="C19" s="50" t="s">
        <v>107</v>
      </c>
      <c r="D19" s="50" t="s">
        <v>107</v>
      </c>
      <c r="E19" s="50" t="s">
        <v>107</v>
      </c>
      <c r="F19" s="50" t="s">
        <v>107</v>
      </c>
      <c r="G19" s="50" t="s">
        <v>107</v>
      </c>
      <c r="H19" s="50" t="s">
        <v>107</v>
      </c>
      <c r="I19" s="50" t="s">
        <v>107</v>
      </c>
      <c r="J19" s="50" t="s">
        <v>107</v>
      </c>
      <c r="K19" s="50" t="s">
        <v>107</v>
      </c>
      <c r="L19" s="53" t="s">
        <v>107</v>
      </c>
      <c r="R19" t="str">
        <f ca="1">INDEX(INDIRECT($Q$5),15,$T$4)</f>
        <v>Not feasible</v>
      </c>
    </row>
    <row r="20" spans="1:18" x14ac:dyDescent="0.35">
      <c r="A20">
        <v>6000</v>
      </c>
      <c r="B20" s="46" t="s">
        <v>107</v>
      </c>
      <c r="C20" s="50" t="s">
        <v>107</v>
      </c>
      <c r="D20" s="50" t="s">
        <v>107</v>
      </c>
      <c r="E20" s="50" t="s">
        <v>107</v>
      </c>
      <c r="F20" s="50" t="s">
        <v>107</v>
      </c>
      <c r="G20" s="50" t="s">
        <v>107</v>
      </c>
      <c r="H20" s="50" t="s">
        <v>107</v>
      </c>
      <c r="I20" s="50" t="s">
        <v>107</v>
      </c>
      <c r="J20" s="50" t="s">
        <v>107</v>
      </c>
      <c r="K20" s="50" t="s">
        <v>107</v>
      </c>
      <c r="L20" s="53" t="s">
        <v>107</v>
      </c>
      <c r="R20" t="str">
        <f ca="1">INDEX(INDIRECT($Q$5),16,$T$4)</f>
        <v>Not feasible</v>
      </c>
    </row>
    <row r="21" spans="1:18" x14ac:dyDescent="0.35">
      <c r="A21">
        <v>6200</v>
      </c>
      <c r="B21" s="46" t="s">
        <v>107</v>
      </c>
      <c r="C21" s="50" t="s">
        <v>107</v>
      </c>
      <c r="D21" s="50" t="s">
        <v>107</v>
      </c>
      <c r="E21" s="50" t="s">
        <v>107</v>
      </c>
      <c r="F21" s="50" t="s">
        <v>107</v>
      </c>
      <c r="G21" s="50" t="s">
        <v>107</v>
      </c>
      <c r="H21" s="50" t="s">
        <v>107</v>
      </c>
      <c r="I21" s="50" t="s">
        <v>107</v>
      </c>
      <c r="J21" s="50" t="s">
        <v>107</v>
      </c>
      <c r="K21" s="50" t="s">
        <v>107</v>
      </c>
      <c r="L21" s="53" t="s">
        <v>107</v>
      </c>
      <c r="R21" t="str">
        <f ca="1">INDEX(INDIRECT($Q$5),17,$T$4)</f>
        <v>Not feasible</v>
      </c>
    </row>
    <row r="22" spans="1:18" x14ac:dyDescent="0.35">
      <c r="A22">
        <v>6400</v>
      </c>
      <c r="B22" s="46" t="s">
        <v>107</v>
      </c>
      <c r="C22" s="50" t="s">
        <v>107</v>
      </c>
      <c r="D22" s="50" t="s">
        <v>107</v>
      </c>
      <c r="E22" s="50" t="s">
        <v>107</v>
      </c>
      <c r="F22" s="50" t="s">
        <v>107</v>
      </c>
      <c r="G22" s="50" t="s">
        <v>107</v>
      </c>
      <c r="H22" s="50" t="s">
        <v>107</v>
      </c>
      <c r="I22" s="50" t="s">
        <v>107</v>
      </c>
      <c r="J22" s="50" t="s">
        <v>107</v>
      </c>
      <c r="K22" s="50" t="s">
        <v>107</v>
      </c>
      <c r="L22" s="53" t="s">
        <v>107</v>
      </c>
      <c r="R22" t="str">
        <f ca="1">INDEX(INDIRECT($Q$5),18,$T$4)</f>
        <v>Not feasible</v>
      </c>
    </row>
    <row r="23" spans="1:18" x14ac:dyDescent="0.35">
      <c r="A23">
        <v>6600</v>
      </c>
      <c r="B23" s="46" t="s">
        <v>107</v>
      </c>
      <c r="C23" s="50" t="s">
        <v>107</v>
      </c>
      <c r="D23" s="50" t="s">
        <v>107</v>
      </c>
      <c r="E23" s="50" t="s">
        <v>107</v>
      </c>
      <c r="F23" s="50" t="s">
        <v>107</v>
      </c>
      <c r="G23" s="50" t="s">
        <v>107</v>
      </c>
      <c r="H23" s="50" t="s">
        <v>107</v>
      </c>
      <c r="I23" s="50" t="s">
        <v>107</v>
      </c>
      <c r="J23" s="50" t="s">
        <v>107</v>
      </c>
      <c r="K23" s="50" t="s">
        <v>107</v>
      </c>
      <c r="L23" s="53" t="s">
        <v>107</v>
      </c>
      <c r="R23" t="str">
        <f ca="1">INDEX(INDIRECT($Q$5),19,$T$4)</f>
        <v>Not feasible</v>
      </c>
    </row>
    <row r="24" spans="1:18" x14ac:dyDescent="0.35">
      <c r="A24">
        <v>6800</v>
      </c>
      <c r="B24" s="46" t="s">
        <v>107</v>
      </c>
      <c r="C24" s="50" t="s">
        <v>107</v>
      </c>
      <c r="D24" s="50" t="s">
        <v>107</v>
      </c>
      <c r="E24" s="50" t="s">
        <v>107</v>
      </c>
      <c r="F24" s="50" t="s">
        <v>107</v>
      </c>
      <c r="G24" s="50" t="s">
        <v>107</v>
      </c>
      <c r="H24" s="50" t="s">
        <v>107</v>
      </c>
      <c r="I24" s="50" t="s">
        <v>107</v>
      </c>
      <c r="J24" s="50" t="s">
        <v>107</v>
      </c>
      <c r="K24" s="50" t="s">
        <v>107</v>
      </c>
      <c r="L24" s="53" t="s">
        <v>107</v>
      </c>
      <c r="R24" t="str">
        <f ca="1">INDEX(INDIRECT($Q$5),20,$T$4)</f>
        <v>Not feasible</v>
      </c>
    </row>
    <row r="25" spans="1:18" x14ac:dyDescent="0.35">
      <c r="A25">
        <v>7000</v>
      </c>
      <c r="B25" s="48" t="s">
        <v>107</v>
      </c>
      <c r="C25" s="51" t="s">
        <v>107</v>
      </c>
      <c r="D25" s="51" t="s">
        <v>107</v>
      </c>
      <c r="E25" s="51" t="s">
        <v>107</v>
      </c>
      <c r="F25" s="51" t="s">
        <v>107</v>
      </c>
      <c r="G25" s="51" t="s">
        <v>107</v>
      </c>
      <c r="H25" s="51" t="s">
        <v>107</v>
      </c>
      <c r="I25" s="51" t="s">
        <v>107</v>
      </c>
      <c r="J25" s="51" t="s">
        <v>107</v>
      </c>
      <c r="K25" s="51" t="s">
        <v>107</v>
      </c>
      <c r="L25" s="54" t="s">
        <v>107</v>
      </c>
      <c r="R25" t="str">
        <f ca="1">INDEX(INDIRECT($Q$5),21,$T$4)</f>
        <v>Not feasible</v>
      </c>
    </row>
    <row r="27" spans="1:18" x14ac:dyDescent="0.35">
      <c r="A27" s="43" t="s">
        <v>87</v>
      </c>
      <c r="B27">
        <v>0.5</v>
      </c>
      <c r="C27">
        <v>0.55000001192092896</v>
      </c>
      <c r="D27">
        <v>0.60000002384185791</v>
      </c>
      <c r="E27">
        <v>0.64999997615814209</v>
      </c>
      <c r="F27">
        <v>0.69999998807907104</v>
      </c>
      <c r="G27">
        <v>0.75</v>
      </c>
      <c r="H27">
        <v>0.80000001192092896</v>
      </c>
      <c r="I27">
        <v>0.85000002384185791</v>
      </c>
      <c r="J27">
        <v>0.89999997615814209</v>
      </c>
      <c r="K27">
        <v>0.94999998807907104</v>
      </c>
      <c r="L27">
        <v>1</v>
      </c>
    </row>
    <row r="28" spans="1:18" x14ac:dyDescent="0.35">
      <c r="A28">
        <v>3000</v>
      </c>
      <c r="B28" s="45" t="s">
        <v>107</v>
      </c>
      <c r="C28" s="49" t="s">
        <v>107</v>
      </c>
      <c r="D28" s="49" t="s">
        <v>107</v>
      </c>
      <c r="E28" s="49" t="s">
        <v>107</v>
      </c>
      <c r="F28" s="49" t="s">
        <v>107</v>
      </c>
      <c r="G28" s="49" t="s">
        <v>107</v>
      </c>
      <c r="H28" s="49" t="s">
        <v>107</v>
      </c>
      <c r="I28" s="49" t="s">
        <v>107</v>
      </c>
      <c r="J28" s="49" t="s">
        <v>107</v>
      </c>
      <c r="K28" s="49" t="s">
        <v>107</v>
      </c>
      <c r="L28" s="52" t="s">
        <v>107</v>
      </c>
    </row>
    <row r="29" spans="1:18" x14ac:dyDescent="0.35">
      <c r="A29">
        <v>3200</v>
      </c>
      <c r="B29" s="46" t="s">
        <v>107</v>
      </c>
      <c r="C29" s="50" t="s">
        <v>107</v>
      </c>
      <c r="D29" s="50" t="s">
        <v>107</v>
      </c>
      <c r="E29" s="50" t="s">
        <v>107</v>
      </c>
      <c r="F29" s="50" t="s">
        <v>107</v>
      </c>
      <c r="G29" s="50" t="s">
        <v>107</v>
      </c>
      <c r="H29" s="50" t="s">
        <v>107</v>
      </c>
      <c r="I29" s="50" t="s">
        <v>107</v>
      </c>
      <c r="J29" s="50" t="s">
        <v>107</v>
      </c>
      <c r="K29" s="50" t="s">
        <v>107</v>
      </c>
      <c r="L29" s="53" t="s">
        <v>107</v>
      </c>
    </row>
    <row r="30" spans="1:18" x14ac:dyDescent="0.35">
      <c r="A30">
        <v>3400</v>
      </c>
      <c r="B30" s="46" t="s">
        <v>107</v>
      </c>
      <c r="C30" s="50" t="s">
        <v>107</v>
      </c>
      <c r="D30" s="50" t="s">
        <v>107</v>
      </c>
      <c r="E30" s="50" t="s">
        <v>107</v>
      </c>
      <c r="F30" s="50" t="s">
        <v>107</v>
      </c>
      <c r="G30" s="50" t="s">
        <v>107</v>
      </c>
      <c r="H30" s="50" t="s">
        <v>107</v>
      </c>
      <c r="I30" s="50" t="s">
        <v>107</v>
      </c>
      <c r="J30" s="50" t="s">
        <v>107</v>
      </c>
      <c r="K30" s="50" t="s">
        <v>107</v>
      </c>
      <c r="L30" s="53" t="s">
        <v>107</v>
      </c>
    </row>
    <row r="31" spans="1:18" x14ac:dyDescent="0.35">
      <c r="A31">
        <v>3600</v>
      </c>
      <c r="B31" s="46" t="s">
        <v>107</v>
      </c>
      <c r="C31" s="50" t="s">
        <v>107</v>
      </c>
      <c r="D31" s="50" t="s">
        <v>107</v>
      </c>
      <c r="E31" s="50" t="s">
        <v>107</v>
      </c>
      <c r="F31" s="50" t="s">
        <v>107</v>
      </c>
      <c r="G31" s="50" t="s">
        <v>107</v>
      </c>
      <c r="H31" s="50" t="s">
        <v>107</v>
      </c>
      <c r="I31" s="50" t="s">
        <v>107</v>
      </c>
      <c r="J31" s="50" t="s">
        <v>107</v>
      </c>
      <c r="K31" s="50" t="s">
        <v>107</v>
      </c>
      <c r="L31" s="53" t="s">
        <v>107</v>
      </c>
    </row>
    <row r="32" spans="1:18" x14ac:dyDescent="0.35">
      <c r="A32">
        <v>3800</v>
      </c>
      <c r="B32" s="46" t="s">
        <v>107</v>
      </c>
      <c r="C32" s="50" t="s">
        <v>107</v>
      </c>
      <c r="D32" s="50" t="s">
        <v>107</v>
      </c>
      <c r="E32" s="50" t="s">
        <v>107</v>
      </c>
      <c r="F32" s="50" t="s">
        <v>107</v>
      </c>
      <c r="G32" s="50" t="s">
        <v>107</v>
      </c>
      <c r="H32" s="50" t="s">
        <v>107</v>
      </c>
      <c r="I32" s="50" t="s">
        <v>107</v>
      </c>
      <c r="J32" s="50" t="s">
        <v>107</v>
      </c>
      <c r="K32" s="50" t="s">
        <v>107</v>
      </c>
      <c r="L32" s="53" t="s">
        <v>107</v>
      </c>
    </row>
    <row r="33" spans="1:12" x14ac:dyDescent="0.35">
      <c r="A33">
        <v>4000</v>
      </c>
      <c r="B33" s="46" t="s">
        <v>107</v>
      </c>
      <c r="C33" s="50" t="s">
        <v>107</v>
      </c>
      <c r="D33" s="50" t="s">
        <v>107</v>
      </c>
      <c r="E33" s="50" t="s">
        <v>107</v>
      </c>
      <c r="F33" s="50" t="s">
        <v>107</v>
      </c>
      <c r="G33" s="50" t="s">
        <v>107</v>
      </c>
      <c r="H33" s="50" t="s">
        <v>107</v>
      </c>
      <c r="I33" s="50" t="s">
        <v>107</v>
      </c>
      <c r="J33" s="50" t="s">
        <v>107</v>
      </c>
      <c r="K33" s="50" t="s">
        <v>107</v>
      </c>
      <c r="L33" s="53" t="s">
        <v>107</v>
      </c>
    </row>
    <row r="34" spans="1:12" x14ac:dyDescent="0.35">
      <c r="A34">
        <v>4200</v>
      </c>
      <c r="B34" s="46" t="s">
        <v>107</v>
      </c>
      <c r="C34" s="50" t="s">
        <v>107</v>
      </c>
      <c r="D34" s="50" t="s">
        <v>107</v>
      </c>
      <c r="E34" s="50" t="s">
        <v>107</v>
      </c>
      <c r="F34" s="50" t="s">
        <v>107</v>
      </c>
      <c r="G34" s="50" t="s">
        <v>107</v>
      </c>
      <c r="H34" s="50" t="s">
        <v>107</v>
      </c>
      <c r="I34" s="50" t="s">
        <v>107</v>
      </c>
      <c r="J34" s="50" t="s">
        <v>107</v>
      </c>
      <c r="K34" s="50" t="s">
        <v>107</v>
      </c>
      <c r="L34" s="53" t="s">
        <v>107</v>
      </c>
    </row>
    <row r="35" spans="1:12" x14ac:dyDescent="0.35">
      <c r="A35">
        <v>4400</v>
      </c>
      <c r="B35" s="46" t="s">
        <v>107</v>
      </c>
      <c r="C35" s="50" t="s">
        <v>107</v>
      </c>
      <c r="D35" s="50" t="s">
        <v>107</v>
      </c>
      <c r="E35" s="50" t="s">
        <v>107</v>
      </c>
      <c r="F35" s="50" t="s">
        <v>107</v>
      </c>
      <c r="G35" s="50" t="s">
        <v>107</v>
      </c>
      <c r="H35" s="50" t="s">
        <v>107</v>
      </c>
      <c r="I35" s="50" t="s">
        <v>107</v>
      </c>
      <c r="J35" s="50" t="s">
        <v>107</v>
      </c>
      <c r="K35" s="50" t="s">
        <v>107</v>
      </c>
      <c r="L35" s="53" t="s">
        <v>107</v>
      </c>
    </row>
    <row r="36" spans="1:12" x14ac:dyDescent="0.35">
      <c r="A36">
        <v>4600</v>
      </c>
      <c r="B36" s="46" t="s">
        <v>107</v>
      </c>
      <c r="C36" s="50" t="s">
        <v>107</v>
      </c>
      <c r="D36" s="50" t="s">
        <v>107</v>
      </c>
      <c r="E36" s="50" t="s">
        <v>107</v>
      </c>
      <c r="F36" s="50" t="s">
        <v>107</v>
      </c>
      <c r="G36" s="50" t="s">
        <v>107</v>
      </c>
      <c r="H36" s="50" t="s">
        <v>107</v>
      </c>
      <c r="I36" s="50" t="s">
        <v>107</v>
      </c>
      <c r="J36" s="50" t="s">
        <v>107</v>
      </c>
      <c r="K36" s="50" t="s">
        <v>107</v>
      </c>
      <c r="L36" s="53" t="s">
        <v>107</v>
      </c>
    </row>
    <row r="37" spans="1:12" x14ac:dyDescent="0.35">
      <c r="A37">
        <v>4800</v>
      </c>
      <c r="B37" s="46" t="s">
        <v>107</v>
      </c>
      <c r="C37" s="50" t="s">
        <v>107</v>
      </c>
      <c r="D37" s="50" t="s">
        <v>107</v>
      </c>
      <c r="E37" s="50" t="s">
        <v>107</v>
      </c>
      <c r="F37" s="50" t="s">
        <v>107</v>
      </c>
      <c r="G37" s="50" t="s">
        <v>107</v>
      </c>
      <c r="H37" s="50" t="s">
        <v>107</v>
      </c>
      <c r="I37" s="50" t="s">
        <v>107</v>
      </c>
      <c r="J37" s="50" t="s">
        <v>107</v>
      </c>
      <c r="K37" s="50" t="s">
        <v>107</v>
      </c>
      <c r="L37" s="53" t="s">
        <v>107</v>
      </c>
    </row>
    <row r="38" spans="1:12" x14ac:dyDescent="0.35">
      <c r="A38">
        <v>5000</v>
      </c>
      <c r="B38" s="47">
        <v>450</v>
      </c>
      <c r="C38">
        <v>450</v>
      </c>
      <c r="D38">
        <v>450</v>
      </c>
      <c r="E38">
        <v>450</v>
      </c>
      <c r="F38">
        <v>450</v>
      </c>
      <c r="G38">
        <v>450</v>
      </c>
      <c r="H38">
        <v>450</v>
      </c>
      <c r="I38">
        <v>450</v>
      </c>
      <c r="J38">
        <v>450</v>
      </c>
      <c r="K38" s="50" t="s">
        <v>107</v>
      </c>
      <c r="L38" s="53" t="s">
        <v>107</v>
      </c>
    </row>
    <row r="39" spans="1:12" x14ac:dyDescent="0.35">
      <c r="A39">
        <v>5200</v>
      </c>
      <c r="B39" s="47">
        <v>2340</v>
      </c>
      <c r="C39">
        <v>2340</v>
      </c>
      <c r="D39">
        <v>2340</v>
      </c>
      <c r="E39">
        <v>2340</v>
      </c>
      <c r="F39">
        <v>2340</v>
      </c>
      <c r="G39">
        <v>2340</v>
      </c>
      <c r="H39">
        <v>2340</v>
      </c>
      <c r="I39">
        <v>2340</v>
      </c>
      <c r="J39">
        <v>2340</v>
      </c>
      <c r="K39">
        <v>2080</v>
      </c>
      <c r="L39" s="53" t="s">
        <v>107</v>
      </c>
    </row>
    <row r="40" spans="1:12" x14ac:dyDescent="0.35">
      <c r="A40">
        <v>5400</v>
      </c>
      <c r="B40" s="47">
        <v>2700</v>
      </c>
      <c r="C40">
        <v>2700</v>
      </c>
      <c r="D40">
        <v>2700</v>
      </c>
      <c r="E40">
        <v>2700</v>
      </c>
      <c r="F40">
        <v>2700</v>
      </c>
      <c r="G40">
        <v>2700</v>
      </c>
      <c r="H40">
        <v>2700</v>
      </c>
      <c r="I40">
        <v>2700</v>
      </c>
      <c r="J40">
        <v>2700</v>
      </c>
      <c r="K40">
        <v>2700</v>
      </c>
      <c r="L40" s="53" t="s">
        <v>107</v>
      </c>
    </row>
    <row r="41" spans="1:12" x14ac:dyDescent="0.35">
      <c r="A41">
        <v>5600</v>
      </c>
      <c r="B41" s="46" t="s">
        <v>107</v>
      </c>
      <c r="C41" s="50" t="s">
        <v>107</v>
      </c>
      <c r="D41" s="50" t="s">
        <v>107</v>
      </c>
      <c r="E41" s="50" t="s">
        <v>107</v>
      </c>
      <c r="F41" s="50" t="s">
        <v>107</v>
      </c>
      <c r="G41" s="50" t="s">
        <v>107</v>
      </c>
      <c r="H41" s="50" t="s">
        <v>107</v>
      </c>
      <c r="I41" s="50" t="s">
        <v>107</v>
      </c>
      <c r="J41" s="50" t="s">
        <v>107</v>
      </c>
      <c r="K41" s="50" t="s">
        <v>107</v>
      </c>
      <c r="L41" s="53" t="s">
        <v>107</v>
      </c>
    </row>
    <row r="42" spans="1:12" x14ac:dyDescent="0.35">
      <c r="A42">
        <v>5800</v>
      </c>
      <c r="B42" s="46" t="s">
        <v>107</v>
      </c>
      <c r="C42" s="50" t="s">
        <v>107</v>
      </c>
      <c r="D42" s="50" t="s">
        <v>107</v>
      </c>
      <c r="E42" s="50" t="s">
        <v>107</v>
      </c>
      <c r="F42" s="50" t="s">
        <v>107</v>
      </c>
      <c r="G42" s="50" t="s">
        <v>107</v>
      </c>
      <c r="H42" s="50" t="s">
        <v>107</v>
      </c>
      <c r="I42" s="50" t="s">
        <v>107</v>
      </c>
      <c r="J42" s="50" t="s">
        <v>107</v>
      </c>
      <c r="K42" s="50" t="s">
        <v>107</v>
      </c>
      <c r="L42" s="53" t="s">
        <v>107</v>
      </c>
    </row>
    <row r="43" spans="1:12" x14ac:dyDescent="0.35">
      <c r="A43">
        <v>6000</v>
      </c>
      <c r="B43" s="46" t="s">
        <v>107</v>
      </c>
      <c r="C43" s="50" t="s">
        <v>107</v>
      </c>
      <c r="D43" s="50" t="s">
        <v>107</v>
      </c>
      <c r="E43" s="50" t="s">
        <v>107</v>
      </c>
      <c r="F43" s="50" t="s">
        <v>107</v>
      </c>
      <c r="G43" s="50" t="s">
        <v>107</v>
      </c>
      <c r="H43" s="50" t="s">
        <v>107</v>
      </c>
      <c r="I43" s="50" t="s">
        <v>107</v>
      </c>
      <c r="J43" s="50" t="s">
        <v>107</v>
      </c>
      <c r="K43" s="50" t="s">
        <v>107</v>
      </c>
      <c r="L43" s="53" t="s">
        <v>107</v>
      </c>
    </row>
    <row r="44" spans="1:12" x14ac:dyDescent="0.35">
      <c r="A44">
        <v>6200</v>
      </c>
      <c r="B44" s="46" t="s">
        <v>107</v>
      </c>
      <c r="C44" s="50" t="s">
        <v>107</v>
      </c>
      <c r="D44" s="50" t="s">
        <v>107</v>
      </c>
      <c r="E44" s="50" t="s">
        <v>107</v>
      </c>
      <c r="F44" s="50" t="s">
        <v>107</v>
      </c>
      <c r="G44" s="50" t="s">
        <v>107</v>
      </c>
      <c r="H44" s="50" t="s">
        <v>107</v>
      </c>
      <c r="I44" s="50" t="s">
        <v>107</v>
      </c>
      <c r="J44" s="50" t="s">
        <v>107</v>
      </c>
      <c r="K44" s="50" t="s">
        <v>107</v>
      </c>
      <c r="L44" s="53" t="s">
        <v>107</v>
      </c>
    </row>
    <row r="45" spans="1:12" x14ac:dyDescent="0.35">
      <c r="A45">
        <v>6400</v>
      </c>
      <c r="B45" s="46" t="s">
        <v>107</v>
      </c>
      <c r="C45" s="50" t="s">
        <v>107</v>
      </c>
      <c r="D45" s="50" t="s">
        <v>107</v>
      </c>
      <c r="E45" s="50" t="s">
        <v>107</v>
      </c>
      <c r="F45" s="50" t="s">
        <v>107</v>
      </c>
      <c r="G45" s="50" t="s">
        <v>107</v>
      </c>
      <c r="H45" s="50" t="s">
        <v>107</v>
      </c>
      <c r="I45" s="50" t="s">
        <v>107</v>
      </c>
      <c r="J45" s="50" t="s">
        <v>107</v>
      </c>
      <c r="K45" s="50" t="s">
        <v>107</v>
      </c>
      <c r="L45" s="53" t="s">
        <v>107</v>
      </c>
    </row>
    <row r="46" spans="1:12" x14ac:dyDescent="0.35">
      <c r="A46">
        <v>6600</v>
      </c>
      <c r="B46" s="46" t="s">
        <v>107</v>
      </c>
      <c r="C46" s="50" t="s">
        <v>107</v>
      </c>
      <c r="D46" s="50" t="s">
        <v>107</v>
      </c>
      <c r="E46" s="50" t="s">
        <v>107</v>
      </c>
      <c r="F46" s="50" t="s">
        <v>107</v>
      </c>
      <c r="G46" s="50" t="s">
        <v>107</v>
      </c>
      <c r="H46" s="50" t="s">
        <v>107</v>
      </c>
      <c r="I46" s="50" t="s">
        <v>107</v>
      </c>
      <c r="J46" s="50" t="s">
        <v>107</v>
      </c>
      <c r="K46" s="50" t="s">
        <v>107</v>
      </c>
      <c r="L46" s="53" t="s">
        <v>107</v>
      </c>
    </row>
    <row r="47" spans="1:12" x14ac:dyDescent="0.35">
      <c r="A47">
        <v>6800</v>
      </c>
      <c r="B47" s="46" t="s">
        <v>107</v>
      </c>
      <c r="C47" s="50" t="s">
        <v>107</v>
      </c>
      <c r="D47" s="50" t="s">
        <v>107</v>
      </c>
      <c r="E47" s="50" t="s">
        <v>107</v>
      </c>
      <c r="F47" s="50" t="s">
        <v>107</v>
      </c>
      <c r="G47" s="50" t="s">
        <v>107</v>
      </c>
      <c r="H47" s="50" t="s">
        <v>107</v>
      </c>
      <c r="I47" s="50" t="s">
        <v>107</v>
      </c>
      <c r="J47" s="50" t="s">
        <v>107</v>
      </c>
      <c r="K47" s="50" t="s">
        <v>107</v>
      </c>
      <c r="L47" s="53" t="s">
        <v>107</v>
      </c>
    </row>
    <row r="48" spans="1:12" x14ac:dyDescent="0.35">
      <c r="A48">
        <v>7000</v>
      </c>
      <c r="B48" s="48" t="s">
        <v>107</v>
      </c>
      <c r="C48" s="51" t="s">
        <v>107</v>
      </c>
      <c r="D48" s="51" t="s">
        <v>107</v>
      </c>
      <c r="E48" s="51" t="s">
        <v>107</v>
      </c>
      <c r="F48" s="51" t="s">
        <v>107</v>
      </c>
      <c r="G48" s="51" t="s">
        <v>107</v>
      </c>
      <c r="H48" s="51" t="s">
        <v>107</v>
      </c>
      <c r="I48" s="51" t="s">
        <v>107</v>
      </c>
      <c r="J48" s="51" t="s">
        <v>107</v>
      </c>
      <c r="K48" s="51" t="s">
        <v>107</v>
      </c>
      <c r="L48" s="54" t="s">
        <v>107</v>
      </c>
    </row>
    <row r="50" spans="1:12" x14ac:dyDescent="0.35">
      <c r="A50" s="43" t="s">
        <v>88</v>
      </c>
      <c r="B50">
        <v>0.5</v>
      </c>
      <c r="C50">
        <v>0.55000001192092896</v>
      </c>
      <c r="D50">
        <v>0.60000002384185791</v>
      </c>
      <c r="E50">
        <v>0.64999997615814209</v>
      </c>
      <c r="F50">
        <v>0.69999998807907104</v>
      </c>
      <c r="G50">
        <v>0.75</v>
      </c>
      <c r="H50">
        <v>0.80000001192092896</v>
      </c>
      <c r="I50">
        <v>0.85000002384185791</v>
      </c>
      <c r="J50">
        <v>0.89999997615814209</v>
      </c>
      <c r="K50">
        <v>0.94999998807907104</v>
      </c>
      <c r="L50">
        <v>1</v>
      </c>
    </row>
    <row r="51" spans="1:12" x14ac:dyDescent="0.35">
      <c r="A51">
        <v>3000</v>
      </c>
      <c r="B51" s="45" t="s">
        <v>107</v>
      </c>
      <c r="C51" s="49" t="s">
        <v>107</v>
      </c>
      <c r="D51" s="49" t="s">
        <v>107</v>
      </c>
      <c r="E51" s="49" t="s">
        <v>107</v>
      </c>
      <c r="F51" s="49" t="s">
        <v>107</v>
      </c>
      <c r="G51" s="49" t="s">
        <v>107</v>
      </c>
      <c r="H51" s="49" t="s">
        <v>107</v>
      </c>
      <c r="I51" s="49" t="s">
        <v>107</v>
      </c>
      <c r="J51" s="49" t="s">
        <v>107</v>
      </c>
      <c r="K51" s="49" t="s">
        <v>107</v>
      </c>
      <c r="L51" s="52" t="s">
        <v>107</v>
      </c>
    </row>
    <row r="52" spans="1:12" x14ac:dyDescent="0.35">
      <c r="A52">
        <v>3200</v>
      </c>
      <c r="B52" s="46" t="s">
        <v>107</v>
      </c>
      <c r="C52" s="50" t="s">
        <v>107</v>
      </c>
      <c r="D52" s="50" t="s">
        <v>107</v>
      </c>
      <c r="E52" s="50" t="s">
        <v>107</v>
      </c>
      <c r="F52" s="50" t="s">
        <v>107</v>
      </c>
      <c r="G52" s="50" t="s">
        <v>107</v>
      </c>
      <c r="H52" s="50" t="s">
        <v>107</v>
      </c>
      <c r="I52" s="50" t="s">
        <v>107</v>
      </c>
      <c r="J52" s="50" t="s">
        <v>107</v>
      </c>
      <c r="K52" s="50" t="s">
        <v>107</v>
      </c>
      <c r="L52" s="53" t="s">
        <v>107</v>
      </c>
    </row>
    <row r="53" spans="1:12" x14ac:dyDescent="0.35">
      <c r="A53">
        <v>3400</v>
      </c>
      <c r="B53" s="46" t="s">
        <v>107</v>
      </c>
      <c r="C53" s="50" t="s">
        <v>107</v>
      </c>
      <c r="D53" s="50" t="s">
        <v>107</v>
      </c>
      <c r="E53" s="50" t="s">
        <v>107</v>
      </c>
      <c r="F53" s="50" t="s">
        <v>107</v>
      </c>
      <c r="G53" s="50" t="s">
        <v>107</v>
      </c>
      <c r="H53" s="50" t="s">
        <v>107</v>
      </c>
      <c r="I53" s="50" t="s">
        <v>107</v>
      </c>
      <c r="J53" s="50" t="s">
        <v>107</v>
      </c>
      <c r="K53" s="50" t="s">
        <v>107</v>
      </c>
      <c r="L53" s="53" t="s">
        <v>107</v>
      </c>
    </row>
    <row r="54" spans="1:12" x14ac:dyDescent="0.35">
      <c r="A54">
        <v>3600</v>
      </c>
      <c r="B54" s="46" t="s">
        <v>107</v>
      </c>
      <c r="C54" s="50" t="s">
        <v>107</v>
      </c>
      <c r="D54" s="50" t="s">
        <v>107</v>
      </c>
      <c r="E54" s="50" t="s">
        <v>107</v>
      </c>
      <c r="F54" s="50" t="s">
        <v>107</v>
      </c>
      <c r="G54" s="50" t="s">
        <v>107</v>
      </c>
      <c r="H54" s="50" t="s">
        <v>107</v>
      </c>
      <c r="I54" s="50" t="s">
        <v>107</v>
      </c>
      <c r="J54" s="50" t="s">
        <v>107</v>
      </c>
      <c r="K54" s="50" t="s">
        <v>107</v>
      </c>
      <c r="L54" s="53" t="s">
        <v>107</v>
      </c>
    </row>
    <row r="55" spans="1:12" x14ac:dyDescent="0.35">
      <c r="A55">
        <v>3800</v>
      </c>
      <c r="B55" s="46" t="s">
        <v>107</v>
      </c>
      <c r="C55" s="50" t="s">
        <v>107</v>
      </c>
      <c r="D55" s="50" t="s">
        <v>107</v>
      </c>
      <c r="E55" s="50" t="s">
        <v>107</v>
      </c>
      <c r="F55" s="50" t="s">
        <v>107</v>
      </c>
      <c r="G55" s="50" t="s">
        <v>107</v>
      </c>
      <c r="H55" s="50" t="s">
        <v>107</v>
      </c>
      <c r="I55" s="50" t="s">
        <v>107</v>
      </c>
      <c r="J55" s="50" t="s">
        <v>107</v>
      </c>
      <c r="K55" s="50" t="s">
        <v>107</v>
      </c>
      <c r="L55" s="53" t="s">
        <v>107</v>
      </c>
    </row>
    <row r="56" spans="1:12" x14ac:dyDescent="0.35">
      <c r="A56">
        <v>4000</v>
      </c>
      <c r="B56" s="46" t="s">
        <v>107</v>
      </c>
      <c r="C56" s="50" t="s">
        <v>107</v>
      </c>
      <c r="D56" s="50" t="s">
        <v>107</v>
      </c>
      <c r="E56" s="50" t="s">
        <v>107</v>
      </c>
      <c r="F56" s="50" t="s">
        <v>107</v>
      </c>
      <c r="G56" s="50" t="s">
        <v>107</v>
      </c>
      <c r="H56" s="50" t="s">
        <v>107</v>
      </c>
      <c r="I56" s="50" t="s">
        <v>107</v>
      </c>
      <c r="J56" s="50" t="s">
        <v>107</v>
      </c>
      <c r="K56" s="50" t="s">
        <v>107</v>
      </c>
      <c r="L56" s="53" t="s">
        <v>107</v>
      </c>
    </row>
    <row r="57" spans="1:12" x14ac:dyDescent="0.35">
      <c r="A57">
        <v>4200</v>
      </c>
      <c r="B57" s="46" t="s">
        <v>107</v>
      </c>
      <c r="C57" s="50" t="s">
        <v>107</v>
      </c>
      <c r="D57" s="50" t="s">
        <v>107</v>
      </c>
      <c r="E57" s="50" t="s">
        <v>107</v>
      </c>
      <c r="F57" s="50" t="s">
        <v>107</v>
      </c>
      <c r="G57" s="50" t="s">
        <v>107</v>
      </c>
      <c r="H57" s="50" t="s">
        <v>107</v>
      </c>
      <c r="I57" s="50" t="s">
        <v>107</v>
      </c>
      <c r="J57" s="50" t="s">
        <v>107</v>
      </c>
      <c r="K57" s="50" t="s">
        <v>107</v>
      </c>
      <c r="L57" s="53" t="s">
        <v>107</v>
      </c>
    </row>
    <row r="58" spans="1:12" x14ac:dyDescent="0.35">
      <c r="A58">
        <v>4400</v>
      </c>
      <c r="B58" s="46" t="s">
        <v>107</v>
      </c>
      <c r="C58" s="50" t="s">
        <v>107</v>
      </c>
      <c r="D58" s="50" t="s">
        <v>107</v>
      </c>
      <c r="E58" s="50" t="s">
        <v>107</v>
      </c>
      <c r="F58" s="50" t="s">
        <v>107</v>
      </c>
      <c r="G58" s="50" t="s">
        <v>107</v>
      </c>
      <c r="H58" s="50" t="s">
        <v>107</v>
      </c>
      <c r="I58" s="50" t="s">
        <v>107</v>
      </c>
      <c r="J58" s="50" t="s">
        <v>107</v>
      </c>
      <c r="K58" s="50" t="s">
        <v>107</v>
      </c>
      <c r="L58" s="53" t="s">
        <v>107</v>
      </c>
    </row>
    <row r="59" spans="1:12" x14ac:dyDescent="0.35">
      <c r="A59">
        <v>4600</v>
      </c>
      <c r="B59" s="46" t="s">
        <v>107</v>
      </c>
      <c r="C59" s="50" t="s">
        <v>107</v>
      </c>
      <c r="D59" s="50" t="s">
        <v>107</v>
      </c>
      <c r="E59" s="50" t="s">
        <v>107</v>
      </c>
      <c r="F59" s="50" t="s">
        <v>107</v>
      </c>
      <c r="G59" s="50" t="s">
        <v>107</v>
      </c>
      <c r="H59" s="50" t="s">
        <v>107</v>
      </c>
      <c r="I59" s="50" t="s">
        <v>107</v>
      </c>
      <c r="J59" s="50" t="s">
        <v>107</v>
      </c>
      <c r="K59" s="50" t="s">
        <v>107</v>
      </c>
      <c r="L59" s="53" t="s">
        <v>107</v>
      </c>
    </row>
    <row r="60" spans="1:12" x14ac:dyDescent="0.35">
      <c r="A60">
        <v>4800</v>
      </c>
      <c r="B60" s="46" t="s">
        <v>107</v>
      </c>
      <c r="C60" s="50" t="s">
        <v>107</v>
      </c>
      <c r="D60" s="50" t="s">
        <v>107</v>
      </c>
      <c r="E60" s="50" t="s">
        <v>107</v>
      </c>
      <c r="F60" s="50" t="s">
        <v>107</v>
      </c>
      <c r="G60" s="50" t="s">
        <v>107</v>
      </c>
      <c r="H60" s="50" t="s">
        <v>107</v>
      </c>
      <c r="I60" s="50" t="s">
        <v>107</v>
      </c>
      <c r="J60" s="50" t="s">
        <v>107</v>
      </c>
      <c r="K60" s="50" t="s">
        <v>107</v>
      </c>
      <c r="L60" s="53" t="s">
        <v>107</v>
      </c>
    </row>
    <row r="61" spans="1:12" x14ac:dyDescent="0.35">
      <c r="A61">
        <v>5000</v>
      </c>
      <c r="B61" s="47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s="50" t="s">
        <v>107</v>
      </c>
      <c r="L61" s="53" t="s">
        <v>107</v>
      </c>
    </row>
    <row r="62" spans="1:12" x14ac:dyDescent="0.35">
      <c r="A62">
        <v>5200</v>
      </c>
      <c r="B62" s="47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520</v>
      </c>
      <c r="L62" s="53" t="s">
        <v>107</v>
      </c>
    </row>
    <row r="63" spans="1:12" x14ac:dyDescent="0.35">
      <c r="A63">
        <v>5400</v>
      </c>
      <c r="B63" s="47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1600</v>
      </c>
      <c r="L63" s="53" t="s">
        <v>107</v>
      </c>
    </row>
    <row r="64" spans="1:12" x14ac:dyDescent="0.35">
      <c r="A64">
        <v>5600</v>
      </c>
      <c r="B64" s="46" t="s">
        <v>107</v>
      </c>
      <c r="C64" s="50" t="s">
        <v>107</v>
      </c>
      <c r="D64" s="50" t="s">
        <v>107</v>
      </c>
      <c r="E64" s="50" t="s">
        <v>107</v>
      </c>
      <c r="F64" s="50" t="s">
        <v>107</v>
      </c>
      <c r="G64" s="50" t="s">
        <v>107</v>
      </c>
      <c r="H64" s="50" t="s">
        <v>107</v>
      </c>
      <c r="I64" s="50" t="s">
        <v>107</v>
      </c>
      <c r="J64" s="50" t="s">
        <v>107</v>
      </c>
      <c r="K64" s="50" t="s">
        <v>107</v>
      </c>
      <c r="L64" s="53" t="s">
        <v>107</v>
      </c>
    </row>
    <row r="65" spans="1:12" x14ac:dyDescent="0.35">
      <c r="A65">
        <v>5800</v>
      </c>
      <c r="B65" s="46" t="s">
        <v>107</v>
      </c>
      <c r="C65" s="50" t="s">
        <v>107</v>
      </c>
      <c r="D65" s="50" t="s">
        <v>107</v>
      </c>
      <c r="E65" s="50" t="s">
        <v>107</v>
      </c>
      <c r="F65" s="50" t="s">
        <v>107</v>
      </c>
      <c r="G65" s="50" t="s">
        <v>107</v>
      </c>
      <c r="H65" s="50" t="s">
        <v>107</v>
      </c>
      <c r="I65" s="50" t="s">
        <v>107</v>
      </c>
      <c r="J65" s="50" t="s">
        <v>107</v>
      </c>
      <c r="K65" s="50" t="s">
        <v>107</v>
      </c>
      <c r="L65" s="53" t="s">
        <v>107</v>
      </c>
    </row>
    <row r="66" spans="1:12" x14ac:dyDescent="0.35">
      <c r="A66">
        <v>6000</v>
      </c>
      <c r="B66" s="46" t="s">
        <v>107</v>
      </c>
      <c r="C66" s="50" t="s">
        <v>107</v>
      </c>
      <c r="D66" s="50" t="s">
        <v>107</v>
      </c>
      <c r="E66" s="50" t="s">
        <v>107</v>
      </c>
      <c r="F66" s="50" t="s">
        <v>107</v>
      </c>
      <c r="G66" s="50" t="s">
        <v>107</v>
      </c>
      <c r="H66" s="50" t="s">
        <v>107</v>
      </c>
      <c r="I66" s="50" t="s">
        <v>107</v>
      </c>
      <c r="J66" s="50" t="s">
        <v>107</v>
      </c>
      <c r="K66" s="50" t="s">
        <v>107</v>
      </c>
      <c r="L66" s="53" t="s">
        <v>107</v>
      </c>
    </row>
    <row r="67" spans="1:12" x14ac:dyDescent="0.35">
      <c r="A67">
        <v>6200</v>
      </c>
      <c r="B67" s="46" t="s">
        <v>107</v>
      </c>
      <c r="C67" s="50" t="s">
        <v>107</v>
      </c>
      <c r="D67" s="50" t="s">
        <v>107</v>
      </c>
      <c r="E67" s="50" t="s">
        <v>107</v>
      </c>
      <c r="F67" s="50" t="s">
        <v>107</v>
      </c>
      <c r="G67" s="50" t="s">
        <v>107</v>
      </c>
      <c r="H67" s="50" t="s">
        <v>107</v>
      </c>
      <c r="I67" s="50" t="s">
        <v>107</v>
      </c>
      <c r="J67" s="50" t="s">
        <v>107</v>
      </c>
      <c r="K67" s="50" t="s">
        <v>107</v>
      </c>
      <c r="L67" s="53" t="s">
        <v>107</v>
      </c>
    </row>
    <row r="68" spans="1:12" x14ac:dyDescent="0.35">
      <c r="A68">
        <v>6400</v>
      </c>
      <c r="B68" s="46" t="s">
        <v>107</v>
      </c>
      <c r="C68" s="50" t="s">
        <v>107</v>
      </c>
      <c r="D68" s="50" t="s">
        <v>107</v>
      </c>
      <c r="E68" s="50" t="s">
        <v>107</v>
      </c>
      <c r="F68" s="50" t="s">
        <v>107</v>
      </c>
      <c r="G68" s="50" t="s">
        <v>107</v>
      </c>
      <c r="H68" s="50" t="s">
        <v>107</v>
      </c>
      <c r="I68" s="50" t="s">
        <v>107</v>
      </c>
      <c r="J68" s="50" t="s">
        <v>107</v>
      </c>
      <c r="K68" s="50" t="s">
        <v>107</v>
      </c>
      <c r="L68" s="53" t="s">
        <v>107</v>
      </c>
    </row>
    <row r="69" spans="1:12" x14ac:dyDescent="0.35">
      <c r="A69">
        <v>6600</v>
      </c>
      <c r="B69" s="46" t="s">
        <v>107</v>
      </c>
      <c r="C69" s="50" t="s">
        <v>107</v>
      </c>
      <c r="D69" s="50" t="s">
        <v>107</v>
      </c>
      <c r="E69" s="50" t="s">
        <v>107</v>
      </c>
      <c r="F69" s="50" t="s">
        <v>107</v>
      </c>
      <c r="G69" s="50" t="s">
        <v>107</v>
      </c>
      <c r="H69" s="50" t="s">
        <v>107</v>
      </c>
      <c r="I69" s="50" t="s">
        <v>107</v>
      </c>
      <c r="J69" s="50" t="s">
        <v>107</v>
      </c>
      <c r="K69" s="50" t="s">
        <v>107</v>
      </c>
      <c r="L69" s="53" t="s">
        <v>107</v>
      </c>
    </row>
    <row r="70" spans="1:12" x14ac:dyDescent="0.35">
      <c r="A70">
        <v>6800</v>
      </c>
      <c r="B70" s="46" t="s">
        <v>107</v>
      </c>
      <c r="C70" s="50" t="s">
        <v>107</v>
      </c>
      <c r="D70" s="50" t="s">
        <v>107</v>
      </c>
      <c r="E70" s="50" t="s">
        <v>107</v>
      </c>
      <c r="F70" s="50" t="s">
        <v>107</v>
      </c>
      <c r="G70" s="50" t="s">
        <v>107</v>
      </c>
      <c r="H70" s="50" t="s">
        <v>107</v>
      </c>
      <c r="I70" s="50" t="s">
        <v>107</v>
      </c>
      <c r="J70" s="50" t="s">
        <v>107</v>
      </c>
      <c r="K70" s="50" t="s">
        <v>107</v>
      </c>
      <c r="L70" s="53" t="s">
        <v>107</v>
      </c>
    </row>
    <row r="71" spans="1:12" x14ac:dyDescent="0.35">
      <c r="A71">
        <v>7000</v>
      </c>
      <c r="B71" s="48" t="s">
        <v>107</v>
      </c>
      <c r="C71" s="51" t="s">
        <v>107</v>
      </c>
      <c r="D71" s="51" t="s">
        <v>107</v>
      </c>
      <c r="E71" s="51" t="s">
        <v>107</v>
      </c>
      <c r="F71" s="51" t="s">
        <v>107</v>
      </c>
      <c r="G71" s="51" t="s">
        <v>107</v>
      </c>
      <c r="H71" s="51" t="s">
        <v>107</v>
      </c>
      <c r="I71" s="51" t="s">
        <v>107</v>
      </c>
      <c r="J71" s="51" t="s">
        <v>107</v>
      </c>
      <c r="K71" s="51" t="s">
        <v>107</v>
      </c>
      <c r="L71" s="54" t="s">
        <v>107</v>
      </c>
    </row>
    <row r="73" spans="1:12" x14ac:dyDescent="0.35">
      <c r="A73" s="43" t="s">
        <v>89</v>
      </c>
      <c r="B73">
        <v>0.5</v>
      </c>
      <c r="C73">
        <v>0.55000001192092896</v>
      </c>
      <c r="D73">
        <v>0.60000002384185791</v>
      </c>
      <c r="E73">
        <v>0.64999997615814209</v>
      </c>
      <c r="F73">
        <v>0.69999998807907104</v>
      </c>
      <c r="G73">
        <v>0.75</v>
      </c>
      <c r="H73">
        <v>0.80000001192092896</v>
      </c>
      <c r="I73">
        <v>0.85000002384185791</v>
      </c>
      <c r="J73">
        <v>0.89999997615814209</v>
      </c>
      <c r="K73">
        <v>0.94999998807907104</v>
      </c>
      <c r="L73">
        <v>1</v>
      </c>
    </row>
    <row r="74" spans="1:12" x14ac:dyDescent="0.35">
      <c r="A74">
        <v>3000</v>
      </c>
      <c r="B74" s="45" t="s">
        <v>107</v>
      </c>
      <c r="C74" s="49" t="s">
        <v>107</v>
      </c>
      <c r="D74" s="49" t="s">
        <v>107</v>
      </c>
      <c r="E74" s="49" t="s">
        <v>107</v>
      </c>
      <c r="F74" s="49" t="s">
        <v>107</v>
      </c>
      <c r="G74" s="49" t="s">
        <v>107</v>
      </c>
      <c r="H74" s="49" t="s">
        <v>107</v>
      </c>
      <c r="I74" s="49" t="s">
        <v>107</v>
      </c>
      <c r="J74" s="49" t="s">
        <v>107</v>
      </c>
      <c r="K74" s="49" t="s">
        <v>107</v>
      </c>
      <c r="L74" s="52" t="s">
        <v>107</v>
      </c>
    </row>
    <row r="75" spans="1:12" x14ac:dyDescent="0.35">
      <c r="A75">
        <v>3200</v>
      </c>
      <c r="B75" s="46" t="s">
        <v>107</v>
      </c>
      <c r="C75" s="50" t="s">
        <v>107</v>
      </c>
      <c r="D75" s="50" t="s">
        <v>107</v>
      </c>
      <c r="E75" s="50" t="s">
        <v>107</v>
      </c>
      <c r="F75" s="50" t="s">
        <v>107</v>
      </c>
      <c r="G75" s="50" t="s">
        <v>107</v>
      </c>
      <c r="H75" s="50" t="s">
        <v>107</v>
      </c>
      <c r="I75" s="50" t="s">
        <v>107</v>
      </c>
      <c r="J75" s="50" t="s">
        <v>107</v>
      </c>
      <c r="K75" s="50" t="s">
        <v>107</v>
      </c>
      <c r="L75" s="53" t="s">
        <v>107</v>
      </c>
    </row>
    <row r="76" spans="1:12" x14ac:dyDescent="0.35">
      <c r="A76">
        <v>3400</v>
      </c>
      <c r="B76" s="46" t="s">
        <v>107</v>
      </c>
      <c r="C76" s="50" t="s">
        <v>107</v>
      </c>
      <c r="D76" s="50" t="s">
        <v>107</v>
      </c>
      <c r="E76" s="50" t="s">
        <v>107</v>
      </c>
      <c r="F76" s="50" t="s">
        <v>107</v>
      </c>
      <c r="G76" s="50" t="s">
        <v>107</v>
      </c>
      <c r="H76" s="50" t="s">
        <v>107</v>
      </c>
      <c r="I76" s="50" t="s">
        <v>107</v>
      </c>
      <c r="J76" s="50" t="s">
        <v>107</v>
      </c>
      <c r="K76" s="50" t="s">
        <v>107</v>
      </c>
      <c r="L76" s="53" t="s">
        <v>107</v>
      </c>
    </row>
    <row r="77" spans="1:12" x14ac:dyDescent="0.35">
      <c r="A77">
        <v>3600</v>
      </c>
      <c r="B77" s="46" t="s">
        <v>107</v>
      </c>
      <c r="C77" s="50" t="s">
        <v>107</v>
      </c>
      <c r="D77" s="50" t="s">
        <v>107</v>
      </c>
      <c r="E77" s="50" t="s">
        <v>107</v>
      </c>
      <c r="F77" s="50" t="s">
        <v>107</v>
      </c>
      <c r="G77" s="50" t="s">
        <v>107</v>
      </c>
      <c r="H77" s="50" t="s">
        <v>107</v>
      </c>
      <c r="I77" s="50" t="s">
        <v>107</v>
      </c>
      <c r="J77" s="50" t="s">
        <v>107</v>
      </c>
      <c r="K77" s="50" t="s">
        <v>107</v>
      </c>
      <c r="L77" s="53" t="s">
        <v>107</v>
      </c>
    </row>
    <row r="78" spans="1:12" x14ac:dyDescent="0.35">
      <c r="A78">
        <v>3800</v>
      </c>
      <c r="B78" s="46" t="s">
        <v>107</v>
      </c>
      <c r="C78" s="50" t="s">
        <v>107</v>
      </c>
      <c r="D78" s="50" t="s">
        <v>107</v>
      </c>
      <c r="E78" s="50" t="s">
        <v>107</v>
      </c>
      <c r="F78" s="50" t="s">
        <v>107</v>
      </c>
      <c r="G78" s="50" t="s">
        <v>107</v>
      </c>
      <c r="H78" s="50" t="s">
        <v>107</v>
      </c>
      <c r="I78" s="50" t="s">
        <v>107</v>
      </c>
      <c r="J78" s="50" t="s">
        <v>107</v>
      </c>
      <c r="K78" s="50" t="s">
        <v>107</v>
      </c>
      <c r="L78" s="53" t="s">
        <v>107</v>
      </c>
    </row>
    <row r="79" spans="1:12" x14ac:dyDescent="0.35">
      <c r="A79">
        <v>4000</v>
      </c>
      <c r="B79" s="46" t="s">
        <v>107</v>
      </c>
      <c r="C79" s="50" t="s">
        <v>107</v>
      </c>
      <c r="D79" s="50" t="s">
        <v>107</v>
      </c>
      <c r="E79" s="50" t="s">
        <v>107</v>
      </c>
      <c r="F79" s="50" t="s">
        <v>107</v>
      </c>
      <c r="G79" s="50" t="s">
        <v>107</v>
      </c>
      <c r="H79" s="50" t="s">
        <v>107</v>
      </c>
      <c r="I79" s="50" t="s">
        <v>107</v>
      </c>
      <c r="J79" s="50" t="s">
        <v>107</v>
      </c>
      <c r="K79" s="50" t="s">
        <v>107</v>
      </c>
      <c r="L79" s="53" t="s">
        <v>107</v>
      </c>
    </row>
    <row r="80" spans="1:12" x14ac:dyDescent="0.35">
      <c r="A80">
        <v>4200</v>
      </c>
      <c r="B80" s="46" t="s">
        <v>107</v>
      </c>
      <c r="C80" s="50" t="s">
        <v>107</v>
      </c>
      <c r="D80" s="50" t="s">
        <v>107</v>
      </c>
      <c r="E80" s="50" t="s">
        <v>107</v>
      </c>
      <c r="F80" s="50" t="s">
        <v>107</v>
      </c>
      <c r="G80" s="50" t="s">
        <v>107</v>
      </c>
      <c r="H80" s="50" t="s">
        <v>107</v>
      </c>
      <c r="I80" s="50" t="s">
        <v>107</v>
      </c>
      <c r="J80" s="50" t="s">
        <v>107</v>
      </c>
      <c r="K80" s="50" t="s">
        <v>107</v>
      </c>
      <c r="L80" s="53" t="s">
        <v>107</v>
      </c>
    </row>
    <row r="81" spans="1:12" x14ac:dyDescent="0.35">
      <c r="A81">
        <v>4400</v>
      </c>
      <c r="B81" s="46" t="s">
        <v>107</v>
      </c>
      <c r="C81" s="50" t="s">
        <v>107</v>
      </c>
      <c r="D81" s="50" t="s">
        <v>107</v>
      </c>
      <c r="E81" s="50" t="s">
        <v>107</v>
      </c>
      <c r="F81" s="50" t="s">
        <v>107</v>
      </c>
      <c r="G81" s="50" t="s">
        <v>107</v>
      </c>
      <c r="H81" s="50" t="s">
        <v>107</v>
      </c>
      <c r="I81" s="50" t="s">
        <v>107</v>
      </c>
      <c r="J81" s="50" t="s">
        <v>107</v>
      </c>
      <c r="K81" s="50" t="s">
        <v>107</v>
      </c>
      <c r="L81" s="53" t="s">
        <v>107</v>
      </c>
    </row>
    <row r="82" spans="1:12" x14ac:dyDescent="0.35">
      <c r="A82">
        <v>4600</v>
      </c>
      <c r="B82" s="46" t="s">
        <v>107</v>
      </c>
      <c r="C82" s="50" t="s">
        <v>107</v>
      </c>
      <c r="D82" s="50" t="s">
        <v>107</v>
      </c>
      <c r="E82" s="50" t="s">
        <v>107</v>
      </c>
      <c r="F82" s="50" t="s">
        <v>107</v>
      </c>
      <c r="G82" s="50" t="s">
        <v>107</v>
      </c>
      <c r="H82" s="50" t="s">
        <v>107</v>
      </c>
      <c r="I82" s="50" t="s">
        <v>107</v>
      </c>
      <c r="J82" s="50" t="s">
        <v>107</v>
      </c>
      <c r="K82" s="50" t="s">
        <v>107</v>
      </c>
      <c r="L82" s="53" t="s">
        <v>107</v>
      </c>
    </row>
    <row r="83" spans="1:12" x14ac:dyDescent="0.35">
      <c r="A83">
        <v>4800</v>
      </c>
      <c r="B83" s="46" t="s">
        <v>107</v>
      </c>
      <c r="C83" s="50" t="s">
        <v>107</v>
      </c>
      <c r="D83" s="50" t="s">
        <v>107</v>
      </c>
      <c r="E83" s="50" t="s">
        <v>107</v>
      </c>
      <c r="F83" s="50" t="s">
        <v>107</v>
      </c>
      <c r="G83" s="50" t="s">
        <v>107</v>
      </c>
      <c r="H83" s="50" t="s">
        <v>107</v>
      </c>
      <c r="I83" s="50" t="s">
        <v>107</v>
      </c>
      <c r="J83" s="50" t="s">
        <v>107</v>
      </c>
      <c r="K83" s="50" t="s">
        <v>107</v>
      </c>
      <c r="L83" s="53" t="s">
        <v>107</v>
      </c>
    </row>
    <row r="84" spans="1:12" x14ac:dyDescent="0.35">
      <c r="A84">
        <v>5000</v>
      </c>
      <c r="B84" s="47">
        <v>2500</v>
      </c>
      <c r="C84">
        <v>2500</v>
      </c>
      <c r="D84">
        <v>2500</v>
      </c>
      <c r="E84">
        <v>2500</v>
      </c>
      <c r="F84">
        <v>2500</v>
      </c>
      <c r="G84">
        <v>2500</v>
      </c>
      <c r="H84">
        <v>2500</v>
      </c>
      <c r="I84">
        <v>2500</v>
      </c>
      <c r="J84">
        <v>2500</v>
      </c>
      <c r="K84" s="50" t="s">
        <v>107</v>
      </c>
      <c r="L84" s="53" t="s">
        <v>107</v>
      </c>
    </row>
    <row r="85" spans="1:12" x14ac:dyDescent="0.35">
      <c r="A85">
        <v>5200</v>
      </c>
      <c r="B85" s="47">
        <v>2600</v>
      </c>
      <c r="C85">
        <v>2600</v>
      </c>
      <c r="D85">
        <v>2600</v>
      </c>
      <c r="E85">
        <v>2600</v>
      </c>
      <c r="F85">
        <v>2600</v>
      </c>
      <c r="G85">
        <v>2600</v>
      </c>
      <c r="H85">
        <v>2600</v>
      </c>
      <c r="I85">
        <v>2600</v>
      </c>
      <c r="J85">
        <v>2600</v>
      </c>
      <c r="K85">
        <v>0</v>
      </c>
      <c r="L85" s="53" t="s">
        <v>107</v>
      </c>
    </row>
    <row r="86" spans="1:12" x14ac:dyDescent="0.35">
      <c r="A86">
        <v>5400</v>
      </c>
      <c r="B86" s="47">
        <v>2700</v>
      </c>
      <c r="C86">
        <v>2700</v>
      </c>
      <c r="D86">
        <v>2700</v>
      </c>
      <c r="E86">
        <v>2700</v>
      </c>
      <c r="F86">
        <v>2700</v>
      </c>
      <c r="G86">
        <v>2700</v>
      </c>
      <c r="H86">
        <v>2700</v>
      </c>
      <c r="I86">
        <v>2700</v>
      </c>
      <c r="J86">
        <v>2700</v>
      </c>
      <c r="K86">
        <v>1100</v>
      </c>
      <c r="L86" s="53" t="s">
        <v>107</v>
      </c>
    </row>
    <row r="87" spans="1:12" x14ac:dyDescent="0.35">
      <c r="A87">
        <v>5600</v>
      </c>
      <c r="B87" s="46" t="s">
        <v>107</v>
      </c>
      <c r="C87" s="50" t="s">
        <v>107</v>
      </c>
      <c r="D87" s="50" t="s">
        <v>107</v>
      </c>
      <c r="E87" s="50" t="s">
        <v>107</v>
      </c>
      <c r="F87" s="50" t="s">
        <v>107</v>
      </c>
      <c r="G87" s="50" t="s">
        <v>107</v>
      </c>
      <c r="H87" s="50" t="s">
        <v>107</v>
      </c>
      <c r="I87" s="50" t="s">
        <v>107</v>
      </c>
      <c r="J87" s="50" t="s">
        <v>107</v>
      </c>
      <c r="K87" s="50" t="s">
        <v>107</v>
      </c>
      <c r="L87" s="53" t="s">
        <v>107</v>
      </c>
    </row>
    <row r="88" spans="1:12" x14ac:dyDescent="0.35">
      <c r="A88">
        <v>5800</v>
      </c>
      <c r="B88" s="46" t="s">
        <v>107</v>
      </c>
      <c r="C88" s="50" t="s">
        <v>107</v>
      </c>
      <c r="D88" s="50" t="s">
        <v>107</v>
      </c>
      <c r="E88" s="50" t="s">
        <v>107</v>
      </c>
      <c r="F88" s="50" t="s">
        <v>107</v>
      </c>
      <c r="G88" s="50" t="s">
        <v>107</v>
      </c>
      <c r="H88" s="50" t="s">
        <v>107</v>
      </c>
      <c r="I88" s="50" t="s">
        <v>107</v>
      </c>
      <c r="J88" s="50" t="s">
        <v>107</v>
      </c>
      <c r="K88" s="50" t="s">
        <v>107</v>
      </c>
      <c r="L88" s="53" t="s">
        <v>107</v>
      </c>
    </row>
    <row r="89" spans="1:12" x14ac:dyDescent="0.35">
      <c r="A89">
        <v>6000</v>
      </c>
      <c r="B89" s="46" t="s">
        <v>107</v>
      </c>
      <c r="C89" s="50" t="s">
        <v>107</v>
      </c>
      <c r="D89" s="50" t="s">
        <v>107</v>
      </c>
      <c r="E89" s="50" t="s">
        <v>107</v>
      </c>
      <c r="F89" s="50" t="s">
        <v>107</v>
      </c>
      <c r="G89" s="50" t="s">
        <v>107</v>
      </c>
      <c r="H89" s="50" t="s">
        <v>107</v>
      </c>
      <c r="I89" s="50" t="s">
        <v>107</v>
      </c>
      <c r="J89" s="50" t="s">
        <v>107</v>
      </c>
      <c r="K89" s="50" t="s">
        <v>107</v>
      </c>
      <c r="L89" s="53" t="s">
        <v>107</v>
      </c>
    </row>
    <row r="90" spans="1:12" x14ac:dyDescent="0.35">
      <c r="A90">
        <v>6200</v>
      </c>
      <c r="B90" s="46" t="s">
        <v>107</v>
      </c>
      <c r="C90" s="50" t="s">
        <v>107</v>
      </c>
      <c r="D90" s="50" t="s">
        <v>107</v>
      </c>
      <c r="E90" s="50" t="s">
        <v>107</v>
      </c>
      <c r="F90" s="50" t="s">
        <v>107</v>
      </c>
      <c r="G90" s="50" t="s">
        <v>107</v>
      </c>
      <c r="H90" s="50" t="s">
        <v>107</v>
      </c>
      <c r="I90" s="50" t="s">
        <v>107</v>
      </c>
      <c r="J90" s="50" t="s">
        <v>107</v>
      </c>
      <c r="K90" s="50" t="s">
        <v>107</v>
      </c>
      <c r="L90" s="53" t="s">
        <v>107</v>
      </c>
    </row>
    <row r="91" spans="1:12" x14ac:dyDescent="0.35">
      <c r="A91">
        <v>6400</v>
      </c>
      <c r="B91" s="46" t="s">
        <v>107</v>
      </c>
      <c r="C91" s="50" t="s">
        <v>107</v>
      </c>
      <c r="D91" s="50" t="s">
        <v>107</v>
      </c>
      <c r="E91" s="50" t="s">
        <v>107</v>
      </c>
      <c r="F91" s="50" t="s">
        <v>107</v>
      </c>
      <c r="G91" s="50" t="s">
        <v>107</v>
      </c>
      <c r="H91" s="50" t="s">
        <v>107</v>
      </c>
      <c r="I91" s="50" t="s">
        <v>107</v>
      </c>
      <c r="J91" s="50" t="s">
        <v>107</v>
      </c>
      <c r="K91" s="50" t="s">
        <v>107</v>
      </c>
      <c r="L91" s="53" t="s">
        <v>107</v>
      </c>
    </row>
    <row r="92" spans="1:12" x14ac:dyDescent="0.35">
      <c r="A92">
        <v>6600</v>
      </c>
      <c r="B92" s="46" t="s">
        <v>107</v>
      </c>
      <c r="C92" s="50" t="s">
        <v>107</v>
      </c>
      <c r="D92" s="50" t="s">
        <v>107</v>
      </c>
      <c r="E92" s="50" t="s">
        <v>107</v>
      </c>
      <c r="F92" s="50" t="s">
        <v>107</v>
      </c>
      <c r="G92" s="50" t="s">
        <v>107</v>
      </c>
      <c r="H92" s="50" t="s">
        <v>107</v>
      </c>
      <c r="I92" s="50" t="s">
        <v>107</v>
      </c>
      <c r="J92" s="50" t="s">
        <v>107</v>
      </c>
      <c r="K92" s="50" t="s">
        <v>107</v>
      </c>
      <c r="L92" s="53" t="s">
        <v>107</v>
      </c>
    </row>
    <row r="93" spans="1:12" x14ac:dyDescent="0.35">
      <c r="A93">
        <v>6800</v>
      </c>
      <c r="B93" s="46" t="s">
        <v>107</v>
      </c>
      <c r="C93" s="50" t="s">
        <v>107</v>
      </c>
      <c r="D93" s="50" t="s">
        <v>107</v>
      </c>
      <c r="E93" s="50" t="s">
        <v>107</v>
      </c>
      <c r="F93" s="50" t="s">
        <v>107</v>
      </c>
      <c r="G93" s="50" t="s">
        <v>107</v>
      </c>
      <c r="H93" s="50" t="s">
        <v>107</v>
      </c>
      <c r="I93" s="50" t="s">
        <v>107</v>
      </c>
      <c r="J93" s="50" t="s">
        <v>107</v>
      </c>
      <c r="K93" s="50" t="s">
        <v>107</v>
      </c>
      <c r="L93" s="53" t="s">
        <v>107</v>
      </c>
    </row>
    <row r="94" spans="1:12" x14ac:dyDescent="0.35">
      <c r="A94">
        <v>7000</v>
      </c>
      <c r="B94" s="48" t="s">
        <v>107</v>
      </c>
      <c r="C94" s="51" t="s">
        <v>107</v>
      </c>
      <c r="D94" s="51" t="s">
        <v>107</v>
      </c>
      <c r="E94" s="51" t="s">
        <v>107</v>
      </c>
      <c r="F94" s="51" t="s">
        <v>107</v>
      </c>
      <c r="G94" s="51" t="s">
        <v>107</v>
      </c>
      <c r="H94" s="51" t="s">
        <v>107</v>
      </c>
      <c r="I94" s="51" t="s">
        <v>107</v>
      </c>
      <c r="J94" s="51" t="s">
        <v>107</v>
      </c>
      <c r="K94" s="51" t="s">
        <v>107</v>
      </c>
      <c r="L94" s="54" t="s">
        <v>107</v>
      </c>
    </row>
    <row r="96" spans="1:12" x14ac:dyDescent="0.35">
      <c r="A96" s="43" t="s">
        <v>82</v>
      </c>
      <c r="B96">
        <v>0.5</v>
      </c>
      <c r="C96">
        <v>0.55000001192092896</v>
      </c>
      <c r="D96">
        <v>0.60000002384185791</v>
      </c>
      <c r="E96">
        <v>0.64999997615814209</v>
      </c>
      <c r="F96">
        <v>0.69999998807907104</v>
      </c>
      <c r="G96">
        <v>0.75</v>
      </c>
      <c r="H96">
        <v>0.80000001192092896</v>
      </c>
      <c r="I96">
        <v>0.85000002384185791</v>
      </c>
      <c r="J96">
        <v>0.89999997615814209</v>
      </c>
      <c r="K96">
        <v>0.94999998807907104</v>
      </c>
      <c r="L96">
        <v>1</v>
      </c>
    </row>
    <row r="97" spans="1:12" x14ac:dyDescent="0.35">
      <c r="A97">
        <v>3000</v>
      </c>
      <c r="B97" s="45" t="s">
        <v>107</v>
      </c>
      <c r="C97" s="49" t="s">
        <v>107</v>
      </c>
      <c r="D97" s="49" t="s">
        <v>107</v>
      </c>
      <c r="E97" s="49" t="s">
        <v>107</v>
      </c>
      <c r="F97" s="49" t="s">
        <v>107</v>
      </c>
      <c r="G97" s="49" t="s">
        <v>107</v>
      </c>
      <c r="H97" s="49" t="s">
        <v>107</v>
      </c>
      <c r="I97" s="49" t="s">
        <v>107</v>
      </c>
      <c r="J97" s="49" t="s">
        <v>107</v>
      </c>
      <c r="K97" s="49" t="s">
        <v>107</v>
      </c>
      <c r="L97" s="52" t="s">
        <v>107</v>
      </c>
    </row>
    <row r="98" spans="1:12" x14ac:dyDescent="0.35">
      <c r="A98">
        <v>3200</v>
      </c>
      <c r="B98" s="46" t="s">
        <v>107</v>
      </c>
      <c r="C98" s="50" t="s">
        <v>107</v>
      </c>
      <c r="D98" s="50" t="s">
        <v>107</v>
      </c>
      <c r="E98" s="50" t="s">
        <v>107</v>
      </c>
      <c r="F98" s="50" t="s">
        <v>107</v>
      </c>
      <c r="G98" s="50" t="s">
        <v>107</v>
      </c>
      <c r="H98" s="50" t="s">
        <v>107</v>
      </c>
      <c r="I98" s="50" t="s">
        <v>107</v>
      </c>
      <c r="J98" s="50" t="s">
        <v>107</v>
      </c>
      <c r="K98" s="50" t="s">
        <v>107</v>
      </c>
      <c r="L98" s="53" t="s">
        <v>107</v>
      </c>
    </row>
    <row r="99" spans="1:12" x14ac:dyDescent="0.35">
      <c r="A99">
        <v>3400</v>
      </c>
      <c r="B99" s="46" t="s">
        <v>107</v>
      </c>
      <c r="C99" s="50" t="s">
        <v>107</v>
      </c>
      <c r="D99" s="50" t="s">
        <v>107</v>
      </c>
      <c r="E99" s="50" t="s">
        <v>107</v>
      </c>
      <c r="F99" s="50" t="s">
        <v>107</v>
      </c>
      <c r="G99" s="50" t="s">
        <v>107</v>
      </c>
      <c r="H99" s="50" t="s">
        <v>107</v>
      </c>
      <c r="I99" s="50" t="s">
        <v>107</v>
      </c>
      <c r="J99" s="50" t="s">
        <v>107</v>
      </c>
      <c r="K99" s="50" t="s">
        <v>107</v>
      </c>
      <c r="L99" s="53" t="s">
        <v>107</v>
      </c>
    </row>
    <row r="100" spans="1:12" x14ac:dyDescent="0.35">
      <c r="A100">
        <v>3600</v>
      </c>
      <c r="B100" s="46" t="s">
        <v>107</v>
      </c>
      <c r="C100" s="50" t="s">
        <v>107</v>
      </c>
      <c r="D100" s="50" t="s">
        <v>107</v>
      </c>
      <c r="E100" s="50" t="s">
        <v>107</v>
      </c>
      <c r="F100" s="50" t="s">
        <v>107</v>
      </c>
      <c r="G100" s="50" t="s">
        <v>107</v>
      </c>
      <c r="H100" s="50" t="s">
        <v>107</v>
      </c>
      <c r="I100" s="50" t="s">
        <v>107</v>
      </c>
      <c r="J100" s="50" t="s">
        <v>107</v>
      </c>
      <c r="K100" s="50" t="s">
        <v>107</v>
      </c>
      <c r="L100" s="53" t="s">
        <v>107</v>
      </c>
    </row>
    <row r="101" spans="1:12" x14ac:dyDescent="0.35">
      <c r="A101">
        <v>3800</v>
      </c>
      <c r="B101" s="46" t="s">
        <v>107</v>
      </c>
      <c r="C101" s="50" t="s">
        <v>107</v>
      </c>
      <c r="D101" s="50" t="s">
        <v>107</v>
      </c>
      <c r="E101" s="50" t="s">
        <v>107</v>
      </c>
      <c r="F101" s="50" t="s">
        <v>107</v>
      </c>
      <c r="G101" s="50" t="s">
        <v>107</v>
      </c>
      <c r="H101" s="50" t="s">
        <v>107</v>
      </c>
      <c r="I101" s="50" t="s">
        <v>107</v>
      </c>
      <c r="J101" s="50" t="s">
        <v>107</v>
      </c>
      <c r="K101" s="50" t="s">
        <v>107</v>
      </c>
      <c r="L101" s="53" t="s">
        <v>107</v>
      </c>
    </row>
    <row r="102" spans="1:12" x14ac:dyDescent="0.35">
      <c r="A102">
        <v>4000</v>
      </c>
      <c r="B102" s="46" t="s">
        <v>107</v>
      </c>
      <c r="C102" s="50" t="s">
        <v>107</v>
      </c>
      <c r="D102" s="50" t="s">
        <v>107</v>
      </c>
      <c r="E102" s="50" t="s">
        <v>107</v>
      </c>
      <c r="F102" s="50" t="s">
        <v>107</v>
      </c>
      <c r="G102" s="50" t="s">
        <v>107</v>
      </c>
      <c r="H102" s="50" t="s">
        <v>107</v>
      </c>
      <c r="I102" s="50" t="s">
        <v>107</v>
      </c>
      <c r="J102" s="50" t="s">
        <v>107</v>
      </c>
      <c r="K102" s="50" t="s">
        <v>107</v>
      </c>
      <c r="L102" s="53" t="s">
        <v>107</v>
      </c>
    </row>
    <row r="103" spans="1:12" x14ac:dyDescent="0.35">
      <c r="A103">
        <v>4200</v>
      </c>
      <c r="B103" s="46" t="s">
        <v>107</v>
      </c>
      <c r="C103" s="50" t="s">
        <v>107</v>
      </c>
      <c r="D103" s="50" t="s">
        <v>107</v>
      </c>
      <c r="E103" s="50" t="s">
        <v>107</v>
      </c>
      <c r="F103" s="50" t="s">
        <v>107</v>
      </c>
      <c r="G103" s="50" t="s">
        <v>107</v>
      </c>
      <c r="H103" s="50" t="s">
        <v>107</v>
      </c>
      <c r="I103" s="50" t="s">
        <v>107</v>
      </c>
      <c r="J103" s="50" t="s">
        <v>107</v>
      </c>
      <c r="K103" s="50" t="s">
        <v>107</v>
      </c>
      <c r="L103" s="53" t="s">
        <v>107</v>
      </c>
    </row>
    <row r="104" spans="1:12" x14ac:dyDescent="0.35">
      <c r="A104">
        <v>4400</v>
      </c>
      <c r="B104" s="46" t="s">
        <v>107</v>
      </c>
      <c r="C104" s="50" t="s">
        <v>107</v>
      </c>
      <c r="D104" s="50" t="s">
        <v>107</v>
      </c>
      <c r="E104" s="50" t="s">
        <v>107</v>
      </c>
      <c r="F104" s="50" t="s">
        <v>107</v>
      </c>
      <c r="G104" s="50" t="s">
        <v>107</v>
      </c>
      <c r="H104" s="50" t="s">
        <v>107</v>
      </c>
      <c r="I104" s="50" t="s">
        <v>107</v>
      </c>
      <c r="J104" s="50" t="s">
        <v>107</v>
      </c>
      <c r="K104" s="50" t="s">
        <v>107</v>
      </c>
      <c r="L104" s="53" t="s">
        <v>107</v>
      </c>
    </row>
    <row r="105" spans="1:12" x14ac:dyDescent="0.35">
      <c r="A105">
        <v>4600</v>
      </c>
      <c r="B105" s="46" t="s">
        <v>107</v>
      </c>
      <c r="C105" s="50" t="s">
        <v>107</v>
      </c>
      <c r="D105" s="50" t="s">
        <v>107</v>
      </c>
      <c r="E105" s="50" t="s">
        <v>107</v>
      </c>
      <c r="F105" s="50" t="s">
        <v>107</v>
      </c>
      <c r="G105" s="50" t="s">
        <v>107</v>
      </c>
      <c r="H105" s="50" t="s">
        <v>107</v>
      </c>
      <c r="I105" s="50" t="s">
        <v>107</v>
      </c>
      <c r="J105" s="50" t="s">
        <v>107</v>
      </c>
      <c r="K105" s="50" t="s">
        <v>107</v>
      </c>
      <c r="L105" s="53" t="s">
        <v>107</v>
      </c>
    </row>
    <row r="106" spans="1:12" x14ac:dyDescent="0.35">
      <c r="A106">
        <v>4800</v>
      </c>
      <c r="B106" s="46" t="s">
        <v>107</v>
      </c>
      <c r="C106" s="50" t="s">
        <v>107</v>
      </c>
      <c r="D106" s="50" t="s">
        <v>107</v>
      </c>
      <c r="E106" s="50" t="s">
        <v>107</v>
      </c>
      <c r="F106" s="50" t="s">
        <v>107</v>
      </c>
      <c r="G106" s="50" t="s">
        <v>107</v>
      </c>
      <c r="H106" s="50" t="s">
        <v>107</v>
      </c>
      <c r="I106" s="50" t="s">
        <v>107</v>
      </c>
      <c r="J106" s="50" t="s">
        <v>107</v>
      </c>
      <c r="K106" s="50" t="s">
        <v>107</v>
      </c>
      <c r="L106" s="53" t="s">
        <v>107</v>
      </c>
    </row>
    <row r="107" spans="1:12" x14ac:dyDescent="0.35">
      <c r="A107">
        <v>5000</v>
      </c>
      <c r="B107" s="24">
        <v>71035</v>
      </c>
      <c r="C107" s="41">
        <v>71035</v>
      </c>
      <c r="D107" s="41">
        <v>71035</v>
      </c>
      <c r="E107" s="41">
        <v>71035</v>
      </c>
      <c r="F107" s="41">
        <v>71035</v>
      </c>
      <c r="G107" s="41">
        <v>71035</v>
      </c>
      <c r="H107" s="41">
        <v>71035</v>
      </c>
      <c r="I107" s="41">
        <v>71035</v>
      </c>
      <c r="J107" s="41">
        <v>71035</v>
      </c>
      <c r="K107" s="50" t="s">
        <v>107</v>
      </c>
      <c r="L107" s="53" t="s">
        <v>107</v>
      </c>
    </row>
    <row r="108" spans="1:12" x14ac:dyDescent="0.35">
      <c r="A108">
        <v>5200</v>
      </c>
      <c r="B108" s="24">
        <v>68822</v>
      </c>
      <c r="C108" s="41">
        <v>68822</v>
      </c>
      <c r="D108" s="41">
        <v>68822</v>
      </c>
      <c r="E108" s="41">
        <v>68822</v>
      </c>
      <c r="F108" s="41">
        <v>68822</v>
      </c>
      <c r="G108" s="41">
        <v>68822</v>
      </c>
      <c r="H108" s="41">
        <v>68822</v>
      </c>
      <c r="I108" s="41">
        <v>68822</v>
      </c>
      <c r="J108" s="41">
        <v>68822</v>
      </c>
      <c r="K108" s="41">
        <v>72124</v>
      </c>
      <c r="L108" s="53" t="s">
        <v>107</v>
      </c>
    </row>
    <row r="109" spans="1:12" x14ac:dyDescent="0.35">
      <c r="A109">
        <v>5400</v>
      </c>
      <c r="B109" s="24">
        <v>70740</v>
      </c>
      <c r="C109" s="41">
        <v>70740</v>
      </c>
      <c r="D109" s="41">
        <v>70740</v>
      </c>
      <c r="E109" s="41">
        <v>70740</v>
      </c>
      <c r="F109" s="41">
        <v>70740</v>
      </c>
      <c r="G109" s="41">
        <v>70740</v>
      </c>
      <c r="H109" s="41">
        <v>70740</v>
      </c>
      <c r="I109" s="41">
        <v>70740</v>
      </c>
      <c r="J109" s="41">
        <v>70740</v>
      </c>
      <c r="K109" s="41">
        <v>71700</v>
      </c>
      <c r="L109" s="53" t="s">
        <v>107</v>
      </c>
    </row>
    <row r="110" spans="1:12" x14ac:dyDescent="0.35">
      <c r="A110">
        <v>5600</v>
      </c>
      <c r="B110" s="46" t="s">
        <v>107</v>
      </c>
      <c r="C110" s="50" t="s">
        <v>107</v>
      </c>
      <c r="D110" s="50" t="s">
        <v>107</v>
      </c>
      <c r="E110" s="50" t="s">
        <v>107</v>
      </c>
      <c r="F110" s="50" t="s">
        <v>107</v>
      </c>
      <c r="G110" s="50" t="s">
        <v>107</v>
      </c>
      <c r="H110" s="50" t="s">
        <v>107</v>
      </c>
      <c r="I110" s="50" t="s">
        <v>107</v>
      </c>
      <c r="J110" s="50" t="s">
        <v>107</v>
      </c>
      <c r="K110" s="50" t="s">
        <v>107</v>
      </c>
      <c r="L110" s="53" t="s">
        <v>107</v>
      </c>
    </row>
    <row r="111" spans="1:12" x14ac:dyDescent="0.35">
      <c r="A111">
        <v>5800</v>
      </c>
      <c r="B111" s="46" t="s">
        <v>107</v>
      </c>
      <c r="C111" s="50" t="s">
        <v>107</v>
      </c>
      <c r="D111" s="50" t="s">
        <v>107</v>
      </c>
      <c r="E111" s="50" t="s">
        <v>107</v>
      </c>
      <c r="F111" s="50" t="s">
        <v>107</v>
      </c>
      <c r="G111" s="50" t="s">
        <v>107</v>
      </c>
      <c r="H111" s="50" t="s">
        <v>107</v>
      </c>
      <c r="I111" s="50" t="s">
        <v>107</v>
      </c>
      <c r="J111" s="50" t="s">
        <v>107</v>
      </c>
      <c r="K111" s="50" t="s">
        <v>107</v>
      </c>
      <c r="L111" s="53" t="s">
        <v>107</v>
      </c>
    </row>
    <row r="112" spans="1:12" x14ac:dyDescent="0.35">
      <c r="A112">
        <v>6000</v>
      </c>
      <c r="B112" s="46" t="s">
        <v>107</v>
      </c>
      <c r="C112" s="50" t="s">
        <v>107</v>
      </c>
      <c r="D112" s="50" t="s">
        <v>107</v>
      </c>
      <c r="E112" s="50" t="s">
        <v>107</v>
      </c>
      <c r="F112" s="50" t="s">
        <v>107</v>
      </c>
      <c r="G112" s="50" t="s">
        <v>107</v>
      </c>
      <c r="H112" s="50" t="s">
        <v>107</v>
      </c>
      <c r="I112" s="50" t="s">
        <v>107</v>
      </c>
      <c r="J112" s="50" t="s">
        <v>107</v>
      </c>
      <c r="K112" s="50" t="s">
        <v>107</v>
      </c>
      <c r="L112" s="53" t="s">
        <v>107</v>
      </c>
    </row>
    <row r="113" spans="1:12" x14ac:dyDescent="0.35">
      <c r="A113">
        <v>6200</v>
      </c>
      <c r="B113" s="46" t="s">
        <v>107</v>
      </c>
      <c r="C113" s="50" t="s">
        <v>107</v>
      </c>
      <c r="D113" s="50" t="s">
        <v>107</v>
      </c>
      <c r="E113" s="50" t="s">
        <v>107</v>
      </c>
      <c r="F113" s="50" t="s">
        <v>107</v>
      </c>
      <c r="G113" s="50" t="s">
        <v>107</v>
      </c>
      <c r="H113" s="50" t="s">
        <v>107</v>
      </c>
      <c r="I113" s="50" t="s">
        <v>107</v>
      </c>
      <c r="J113" s="50" t="s">
        <v>107</v>
      </c>
      <c r="K113" s="50" t="s">
        <v>107</v>
      </c>
      <c r="L113" s="53" t="s">
        <v>107</v>
      </c>
    </row>
    <row r="114" spans="1:12" x14ac:dyDescent="0.35">
      <c r="A114">
        <v>6400</v>
      </c>
      <c r="B114" s="46" t="s">
        <v>107</v>
      </c>
      <c r="C114" s="50" t="s">
        <v>107</v>
      </c>
      <c r="D114" s="50" t="s">
        <v>107</v>
      </c>
      <c r="E114" s="50" t="s">
        <v>107</v>
      </c>
      <c r="F114" s="50" t="s">
        <v>107</v>
      </c>
      <c r="G114" s="50" t="s">
        <v>107</v>
      </c>
      <c r="H114" s="50" t="s">
        <v>107</v>
      </c>
      <c r="I114" s="50" t="s">
        <v>107</v>
      </c>
      <c r="J114" s="50" t="s">
        <v>107</v>
      </c>
      <c r="K114" s="50" t="s">
        <v>107</v>
      </c>
      <c r="L114" s="53" t="s">
        <v>107</v>
      </c>
    </row>
    <row r="115" spans="1:12" x14ac:dyDescent="0.35">
      <c r="A115">
        <v>6600</v>
      </c>
      <c r="B115" s="46" t="s">
        <v>107</v>
      </c>
      <c r="C115" s="50" t="s">
        <v>107</v>
      </c>
      <c r="D115" s="50" t="s">
        <v>107</v>
      </c>
      <c r="E115" s="50" t="s">
        <v>107</v>
      </c>
      <c r="F115" s="50" t="s">
        <v>107</v>
      </c>
      <c r="G115" s="50" t="s">
        <v>107</v>
      </c>
      <c r="H115" s="50" t="s">
        <v>107</v>
      </c>
      <c r="I115" s="50" t="s">
        <v>107</v>
      </c>
      <c r="J115" s="50" t="s">
        <v>107</v>
      </c>
      <c r="K115" s="50" t="s">
        <v>107</v>
      </c>
      <c r="L115" s="53" t="s">
        <v>107</v>
      </c>
    </row>
    <row r="116" spans="1:12" x14ac:dyDescent="0.35">
      <c r="A116">
        <v>6800</v>
      </c>
      <c r="B116" s="46" t="s">
        <v>107</v>
      </c>
      <c r="C116" s="50" t="s">
        <v>107</v>
      </c>
      <c r="D116" s="50" t="s">
        <v>107</v>
      </c>
      <c r="E116" s="50" t="s">
        <v>107</v>
      </c>
      <c r="F116" s="50" t="s">
        <v>107</v>
      </c>
      <c r="G116" s="50" t="s">
        <v>107</v>
      </c>
      <c r="H116" s="50" t="s">
        <v>107</v>
      </c>
      <c r="I116" s="50" t="s">
        <v>107</v>
      </c>
      <c r="J116" s="50" t="s">
        <v>107</v>
      </c>
      <c r="K116" s="50" t="s">
        <v>107</v>
      </c>
      <c r="L116" s="53" t="s">
        <v>107</v>
      </c>
    </row>
    <row r="117" spans="1:12" x14ac:dyDescent="0.35">
      <c r="A117">
        <v>7000</v>
      </c>
      <c r="B117" s="48" t="s">
        <v>107</v>
      </c>
      <c r="C117" s="51" t="s">
        <v>107</v>
      </c>
      <c r="D117" s="51" t="s">
        <v>107</v>
      </c>
      <c r="E117" s="51" t="s">
        <v>107</v>
      </c>
      <c r="F117" s="51" t="s">
        <v>107</v>
      </c>
      <c r="G117" s="51" t="s">
        <v>107</v>
      </c>
      <c r="H117" s="51" t="s">
        <v>107</v>
      </c>
      <c r="I117" s="51" t="s">
        <v>107</v>
      </c>
      <c r="J117" s="51" t="s">
        <v>107</v>
      </c>
      <c r="K117" s="51" t="s">
        <v>107</v>
      </c>
      <c r="L117" s="54" t="s">
        <v>107</v>
      </c>
    </row>
  </sheetData>
  <dataValidations count="3">
    <dataValidation type="list" allowBlank="1" showInputMessage="1" showErrorMessage="1" sqref="N4 R4" xr:uid="{91A7236E-8377-4C89-88B4-E3CE61DCA84B}">
      <formula1>OutputAddresses</formula1>
    </dataValidation>
    <dataValidation type="list" allowBlank="1" showInputMessage="1" showErrorMessage="1" sqref="O4" xr:uid="{EE74903B-D89B-4F79-9E48-E5A33B8441D3}">
      <formula1>InputValues1</formula1>
    </dataValidation>
    <dataValidation type="list" allowBlank="1" showInputMessage="1" showErrorMessage="1" sqref="S4" xr:uid="{DAA16E3B-14A8-451C-B4D1-16069095928E}">
      <formula1>InputValues2</formula1>
    </dataValidation>
  </dataValidations>
  <pageMargins left="0.7" right="0.7" top="0.75" bottom="0.75" header="0.3" footer="0.3"/>
  <drawing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0DED2E-DC8A-4A56-A7E7-8B35FC33E412}">
  <dimension ref="A1:AZ117"/>
  <sheetViews>
    <sheetView workbookViewId="0"/>
  </sheetViews>
  <sheetFormatPr defaultRowHeight="14.5" x14ac:dyDescent="0.35"/>
  <cols>
    <col min="1" max="1" width="5.90625" bestFit="1" customWidth="1"/>
    <col min="2" max="11" width="11.1796875" bestFit="1" customWidth="1"/>
  </cols>
  <sheetData>
    <row r="1" spans="1:52" x14ac:dyDescent="0.35">
      <c r="A1" s="6" t="s">
        <v>100</v>
      </c>
      <c r="N1" s="21" t="str">
        <f>CONCATENATE("Sensitivity of ",$N$4," to ","Avg Quality")</f>
        <v>Sensitivity of $B$21 to Avg Quality</v>
      </c>
      <c r="R1" s="21" t="str">
        <f>CONCATENATE("Sensitivity of ",$R$4," to ","Order Quantity")</f>
        <v>Sensitivity of $B$21 to Order Quantity</v>
      </c>
    </row>
    <row r="2" spans="1:52" x14ac:dyDescent="0.35">
      <c r="N2" t="s">
        <v>102</v>
      </c>
      <c r="R2" t="s">
        <v>105</v>
      </c>
      <c r="AZ2" t="s">
        <v>86</v>
      </c>
    </row>
    <row r="3" spans="1:52" x14ac:dyDescent="0.35">
      <c r="A3" t="s">
        <v>101</v>
      </c>
      <c r="N3" t="s">
        <v>103</v>
      </c>
      <c r="O3" t="s">
        <v>104</v>
      </c>
      <c r="R3" t="s">
        <v>103</v>
      </c>
      <c r="S3" t="s">
        <v>106</v>
      </c>
      <c r="AZ3" t="s">
        <v>87</v>
      </c>
    </row>
    <row r="4" spans="1:52" ht="32.5" x14ac:dyDescent="0.35">
      <c r="A4" s="43" t="s">
        <v>86</v>
      </c>
      <c r="B4" s="42">
        <v>0.5</v>
      </c>
      <c r="C4" s="42">
        <v>0.55000001192092896</v>
      </c>
      <c r="D4" s="42">
        <v>0.60000002384185791</v>
      </c>
      <c r="E4" s="42">
        <v>0.64999997615814209</v>
      </c>
      <c r="F4" s="42">
        <v>0.69999998807907104</v>
      </c>
      <c r="G4" s="42">
        <v>0.75</v>
      </c>
      <c r="H4" s="42">
        <v>0.80000001192092896</v>
      </c>
      <c r="I4" s="42">
        <v>0.85000002384185791</v>
      </c>
      <c r="J4" s="42">
        <v>0.89999997615814209</v>
      </c>
      <c r="K4" s="42">
        <v>0.94999998807907104</v>
      </c>
      <c r="L4" s="42">
        <v>1</v>
      </c>
      <c r="M4" s="21">
        <f>MATCH($N$4,OutputAddresses,0)</f>
        <v>1</v>
      </c>
      <c r="N4" s="20" t="s">
        <v>86</v>
      </c>
      <c r="O4" s="44">
        <v>3000</v>
      </c>
      <c r="P4" s="21">
        <f>MATCH($O$4,InputValues1,0)</f>
        <v>1</v>
      </c>
      <c r="Q4" s="21">
        <f>MATCH($R$4,OutputAddresses,0)</f>
        <v>1</v>
      </c>
      <c r="R4" s="20" t="s">
        <v>86</v>
      </c>
      <c r="S4" s="44">
        <v>0.5</v>
      </c>
      <c r="T4" s="21">
        <f>MATCH($S$4,InputValues2,0)</f>
        <v>1</v>
      </c>
      <c r="AZ4" t="s">
        <v>88</v>
      </c>
    </row>
    <row r="5" spans="1:52" x14ac:dyDescent="0.35">
      <c r="A5">
        <v>3000</v>
      </c>
      <c r="B5" s="45" t="s">
        <v>107</v>
      </c>
      <c r="C5" s="49" t="s">
        <v>107</v>
      </c>
      <c r="D5" s="49" t="s">
        <v>107</v>
      </c>
      <c r="E5" s="49" t="s">
        <v>107</v>
      </c>
      <c r="F5" s="49" t="s">
        <v>107</v>
      </c>
      <c r="G5" s="49" t="s">
        <v>107</v>
      </c>
      <c r="H5" s="49" t="s">
        <v>107</v>
      </c>
      <c r="I5" s="49" t="s">
        <v>107</v>
      </c>
      <c r="J5" s="49" t="s">
        <v>107</v>
      </c>
      <c r="K5" s="49" t="s">
        <v>107</v>
      </c>
      <c r="L5" s="52" t="s">
        <v>107</v>
      </c>
      <c r="M5" s="21" t="str">
        <f>"OutputValues_"&amp;$M$4</f>
        <v>OutputValues_1</v>
      </c>
      <c r="N5" t="str">
        <f ca="1">INDEX(INDIRECT($M$5),$P$4,1)</f>
        <v>Not feasible</v>
      </c>
      <c r="Q5" s="21" t="str">
        <f>"OutputValues_"&amp;$Q$4</f>
        <v>OutputValues_1</v>
      </c>
      <c r="R5" t="str">
        <f ca="1">INDEX(INDIRECT($Q$5),1,$T$4)</f>
        <v>Not feasible</v>
      </c>
      <c r="AZ5" t="s">
        <v>89</v>
      </c>
    </row>
    <row r="6" spans="1:52" x14ac:dyDescent="0.35">
      <c r="A6">
        <v>3200</v>
      </c>
      <c r="B6" s="46" t="s">
        <v>107</v>
      </c>
      <c r="C6" s="50" t="s">
        <v>107</v>
      </c>
      <c r="D6" s="50" t="s">
        <v>107</v>
      </c>
      <c r="E6" s="50" t="s">
        <v>107</v>
      </c>
      <c r="F6" s="50" t="s">
        <v>107</v>
      </c>
      <c r="G6" s="50" t="s">
        <v>107</v>
      </c>
      <c r="H6" s="50" t="s">
        <v>107</v>
      </c>
      <c r="I6" s="50" t="s">
        <v>107</v>
      </c>
      <c r="J6" s="50" t="s">
        <v>107</v>
      </c>
      <c r="K6" s="50" t="s">
        <v>107</v>
      </c>
      <c r="L6" s="53" t="s">
        <v>107</v>
      </c>
      <c r="N6" t="str">
        <f ca="1">INDEX(INDIRECT($M$5),$P$4,2)</f>
        <v>Not feasible</v>
      </c>
      <c r="R6" t="str">
        <f ca="1">INDEX(INDIRECT($Q$5),2,$T$4)</f>
        <v>Not feasible</v>
      </c>
      <c r="AZ6" t="s">
        <v>82</v>
      </c>
    </row>
    <row r="7" spans="1:52" x14ac:dyDescent="0.35">
      <c r="A7">
        <v>3400</v>
      </c>
      <c r="B7" s="46" t="s">
        <v>107</v>
      </c>
      <c r="C7" s="50" t="s">
        <v>107</v>
      </c>
      <c r="D7" s="50" t="s">
        <v>107</v>
      </c>
      <c r="E7" s="50" t="s">
        <v>107</v>
      </c>
      <c r="F7" s="50" t="s">
        <v>107</v>
      </c>
      <c r="G7" s="50" t="s">
        <v>107</v>
      </c>
      <c r="H7" s="50" t="s">
        <v>107</v>
      </c>
      <c r="I7" s="50" t="s">
        <v>107</v>
      </c>
      <c r="J7" s="50" t="s">
        <v>107</v>
      </c>
      <c r="K7" s="50" t="s">
        <v>107</v>
      </c>
      <c r="L7" s="53" t="s">
        <v>107</v>
      </c>
      <c r="N7" t="str">
        <f ca="1">INDEX(INDIRECT($M$5),$P$4,3)</f>
        <v>Not feasible</v>
      </c>
      <c r="R7" t="str">
        <f ca="1">INDEX(INDIRECT($Q$5),3,$T$4)</f>
        <v>Not feasible</v>
      </c>
    </row>
    <row r="8" spans="1:52" x14ac:dyDescent="0.35">
      <c r="A8">
        <v>3600</v>
      </c>
      <c r="B8" s="46" t="s">
        <v>107</v>
      </c>
      <c r="C8" s="50" t="s">
        <v>107</v>
      </c>
      <c r="D8" s="50" t="s">
        <v>107</v>
      </c>
      <c r="E8" s="50" t="s">
        <v>107</v>
      </c>
      <c r="F8" s="50" t="s">
        <v>107</v>
      </c>
      <c r="G8" s="50" t="s">
        <v>107</v>
      </c>
      <c r="H8" s="50" t="s">
        <v>107</v>
      </c>
      <c r="I8" s="50" t="s">
        <v>107</v>
      </c>
      <c r="J8" s="50" t="s">
        <v>107</v>
      </c>
      <c r="K8" s="50" t="s">
        <v>107</v>
      </c>
      <c r="L8" s="53" t="s">
        <v>107</v>
      </c>
      <c r="N8" t="str">
        <f ca="1">INDEX(INDIRECT($M$5),$P$4,4)</f>
        <v>Not feasible</v>
      </c>
      <c r="R8" t="str">
        <f ca="1">INDEX(INDIRECT($Q$5),4,$T$4)</f>
        <v>Not feasible</v>
      </c>
    </row>
    <row r="9" spans="1:52" x14ac:dyDescent="0.35">
      <c r="A9">
        <v>3800</v>
      </c>
      <c r="B9" s="46" t="s">
        <v>107</v>
      </c>
      <c r="C9" s="50" t="s">
        <v>107</v>
      </c>
      <c r="D9" s="50" t="s">
        <v>107</v>
      </c>
      <c r="E9" s="50" t="s">
        <v>107</v>
      </c>
      <c r="F9" s="50" t="s">
        <v>107</v>
      </c>
      <c r="G9" s="50" t="s">
        <v>107</v>
      </c>
      <c r="H9" s="50" t="s">
        <v>107</v>
      </c>
      <c r="I9" s="50" t="s">
        <v>107</v>
      </c>
      <c r="J9" s="50" t="s">
        <v>107</v>
      </c>
      <c r="K9" s="50" t="s">
        <v>107</v>
      </c>
      <c r="L9" s="53" t="s">
        <v>107</v>
      </c>
      <c r="N9" t="str">
        <f ca="1">INDEX(INDIRECT($M$5),$P$4,5)</f>
        <v>Not feasible</v>
      </c>
      <c r="R9" t="str">
        <f ca="1">INDEX(INDIRECT($Q$5),5,$T$4)</f>
        <v>Not feasible</v>
      </c>
    </row>
    <row r="10" spans="1:52" x14ac:dyDescent="0.35">
      <c r="A10">
        <v>4000</v>
      </c>
      <c r="B10" s="46" t="s">
        <v>107</v>
      </c>
      <c r="C10" s="50" t="s">
        <v>107</v>
      </c>
      <c r="D10" s="50" t="s">
        <v>107</v>
      </c>
      <c r="E10" s="50" t="s">
        <v>107</v>
      </c>
      <c r="F10" s="50" t="s">
        <v>107</v>
      </c>
      <c r="G10" s="50" t="s">
        <v>107</v>
      </c>
      <c r="H10" s="50" t="s">
        <v>107</v>
      </c>
      <c r="I10" s="50" t="s">
        <v>107</v>
      </c>
      <c r="J10" s="50" t="s">
        <v>107</v>
      </c>
      <c r="K10" s="50" t="s">
        <v>107</v>
      </c>
      <c r="L10" s="53" t="s">
        <v>107</v>
      </c>
      <c r="N10" t="str">
        <f ca="1">INDEX(INDIRECT($M$5),$P$4,6)</f>
        <v>Not feasible</v>
      </c>
      <c r="R10" t="str">
        <f ca="1">INDEX(INDIRECT($Q$5),6,$T$4)</f>
        <v>Not feasible</v>
      </c>
    </row>
    <row r="11" spans="1:52" x14ac:dyDescent="0.35">
      <c r="A11">
        <v>4200</v>
      </c>
      <c r="B11" s="46" t="s">
        <v>107</v>
      </c>
      <c r="C11" s="50" t="s">
        <v>107</v>
      </c>
      <c r="D11" s="50" t="s">
        <v>107</v>
      </c>
      <c r="E11" s="50" t="s">
        <v>107</v>
      </c>
      <c r="F11" s="50" t="s">
        <v>107</v>
      </c>
      <c r="G11" s="50" t="s">
        <v>107</v>
      </c>
      <c r="H11" s="50" t="s">
        <v>107</v>
      </c>
      <c r="I11" s="50" t="s">
        <v>107</v>
      </c>
      <c r="J11" s="50" t="s">
        <v>107</v>
      </c>
      <c r="K11" s="50" t="s">
        <v>107</v>
      </c>
      <c r="L11" s="53" t="s">
        <v>107</v>
      </c>
      <c r="N11" t="str">
        <f ca="1">INDEX(INDIRECT($M$5),$P$4,7)</f>
        <v>Not feasible</v>
      </c>
      <c r="R11" t="str">
        <f ca="1">INDEX(INDIRECT($Q$5),7,$T$4)</f>
        <v>Not feasible</v>
      </c>
    </row>
    <row r="12" spans="1:52" x14ac:dyDescent="0.35">
      <c r="A12">
        <v>4400</v>
      </c>
      <c r="B12" s="46" t="s">
        <v>107</v>
      </c>
      <c r="C12" s="50" t="s">
        <v>107</v>
      </c>
      <c r="D12" s="50" t="s">
        <v>107</v>
      </c>
      <c r="E12" s="50" t="s">
        <v>107</v>
      </c>
      <c r="F12" s="50" t="s">
        <v>107</v>
      </c>
      <c r="G12" s="50" t="s">
        <v>107</v>
      </c>
      <c r="H12" s="50" t="s">
        <v>107</v>
      </c>
      <c r="I12" s="50" t="s">
        <v>107</v>
      </c>
      <c r="J12" s="50" t="s">
        <v>107</v>
      </c>
      <c r="K12" s="50" t="s">
        <v>107</v>
      </c>
      <c r="L12" s="53" t="s">
        <v>107</v>
      </c>
      <c r="N12" t="str">
        <f ca="1">INDEX(INDIRECT($M$5),$P$4,8)</f>
        <v>Not feasible</v>
      </c>
      <c r="R12" t="str">
        <f ca="1">INDEX(INDIRECT($Q$5),8,$T$4)</f>
        <v>Not feasible</v>
      </c>
    </row>
    <row r="13" spans="1:52" x14ac:dyDescent="0.35">
      <c r="A13">
        <v>4600</v>
      </c>
      <c r="B13" s="46" t="s">
        <v>107</v>
      </c>
      <c r="C13" s="50" t="s">
        <v>107</v>
      </c>
      <c r="D13" s="50" t="s">
        <v>107</v>
      </c>
      <c r="E13" s="50" t="s">
        <v>107</v>
      </c>
      <c r="F13" s="50" t="s">
        <v>107</v>
      </c>
      <c r="G13" s="50" t="s">
        <v>107</v>
      </c>
      <c r="H13" s="50" t="s">
        <v>107</v>
      </c>
      <c r="I13" s="50" t="s">
        <v>107</v>
      </c>
      <c r="J13" s="50" t="s">
        <v>107</v>
      </c>
      <c r="K13" s="50" t="s">
        <v>107</v>
      </c>
      <c r="L13" s="53" t="s">
        <v>107</v>
      </c>
      <c r="N13" t="str">
        <f ca="1">INDEX(INDIRECT($M$5),$P$4,9)</f>
        <v>Not feasible</v>
      </c>
      <c r="R13" t="str">
        <f ca="1">INDEX(INDIRECT($Q$5),9,$T$4)</f>
        <v>Not feasible</v>
      </c>
    </row>
    <row r="14" spans="1:52" x14ac:dyDescent="0.35">
      <c r="A14">
        <v>4800</v>
      </c>
      <c r="B14" s="46" t="s">
        <v>107</v>
      </c>
      <c r="C14" s="50" t="s">
        <v>107</v>
      </c>
      <c r="D14" s="50" t="s">
        <v>107</v>
      </c>
      <c r="E14" s="50" t="s">
        <v>107</v>
      </c>
      <c r="F14" s="50" t="s">
        <v>107</v>
      </c>
      <c r="G14" s="50" t="s">
        <v>107</v>
      </c>
      <c r="H14" s="50" t="s">
        <v>107</v>
      </c>
      <c r="I14" s="50" t="s">
        <v>107</v>
      </c>
      <c r="J14" s="50" t="s">
        <v>107</v>
      </c>
      <c r="K14" s="50" t="s">
        <v>107</v>
      </c>
      <c r="L14" s="53" t="s">
        <v>107</v>
      </c>
      <c r="N14" t="str">
        <f ca="1">INDEX(INDIRECT($M$5),$P$4,10)</f>
        <v>Not feasible</v>
      </c>
      <c r="R14" t="str">
        <f ca="1">INDEX(INDIRECT($Q$5),10,$T$4)</f>
        <v>Not feasible</v>
      </c>
    </row>
    <row r="15" spans="1:52" x14ac:dyDescent="0.35">
      <c r="A15">
        <v>5000</v>
      </c>
      <c r="B15" s="47">
        <v>2050</v>
      </c>
      <c r="C15">
        <v>2050</v>
      </c>
      <c r="D15">
        <v>2050</v>
      </c>
      <c r="E15">
        <v>2050</v>
      </c>
      <c r="F15">
        <v>2050</v>
      </c>
      <c r="G15">
        <v>2050</v>
      </c>
      <c r="H15">
        <v>2050</v>
      </c>
      <c r="I15">
        <v>2050</v>
      </c>
      <c r="J15">
        <v>2050</v>
      </c>
      <c r="K15" s="50" t="s">
        <v>107</v>
      </c>
      <c r="L15" s="53" t="s">
        <v>107</v>
      </c>
      <c r="N15" t="str">
        <f ca="1">INDEX(INDIRECT($M$5),$P$4,11)</f>
        <v>Not feasible</v>
      </c>
      <c r="R15">
        <f ca="1">INDEX(INDIRECT($Q$5),11,$T$4)</f>
        <v>2050</v>
      </c>
    </row>
    <row r="16" spans="1:52" x14ac:dyDescent="0.35">
      <c r="A16">
        <v>5200</v>
      </c>
      <c r="B16" s="47">
        <v>260</v>
      </c>
      <c r="C16">
        <v>260</v>
      </c>
      <c r="D16">
        <v>260</v>
      </c>
      <c r="E16">
        <v>260</v>
      </c>
      <c r="F16">
        <v>260</v>
      </c>
      <c r="G16">
        <v>260</v>
      </c>
      <c r="H16">
        <v>260</v>
      </c>
      <c r="I16">
        <v>260</v>
      </c>
      <c r="J16">
        <v>260</v>
      </c>
      <c r="K16">
        <v>2600</v>
      </c>
      <c r="L16" s="53" t="s">
        <v>107</v>
      </c>
      <c r="R16">
        <f ca="1">INDEX(INDIRECT($Q$5),12,$T$4)</f>
        <v>260</v>
      </c>
    </row>
    <row r="17" spans="1:18" x14ac:dyDescent="0.35">
      <c r="A17">
        <v>5400</v>
      </c>
      <c r="B17" s="4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 s="53" t="s">
        <v>107</v>
      </c>
      <c r="R17">
        <f ca="1">INDEX(INDIRECT($Q$5),13,$T$4)</f>
        <v>0</v>
      </c>
    </row>
    <row r="18" spans="1:18" x14ac:dyDescent="0.35">
      <c r="A18">
        <v>5600</v>
      </c>
      <c r="B18" s="46" t="s">
        <v>107</v>
      </c>
      <c r="C18" s="50" t="s">
        <v>107</v>
      </c>
      <c r="D18" s="50" t="s">
        <v>107</v>
      </c>
      <c r="E18" s="50" t="s">
        <v>107</v>
      </c>
      <c r="F18" s="50" t="s">
        <v>107</v>
      </c>
      <c r="G18" s="50" t="s">
        <v>107</v>
      </c>
      <c r="H18" s="50" t="s">
        <v>107</v>
      </c>
      <c r="I18" s="50" t="s">
        <v>107</v>
      </c>
      <c r="J18" s="50" t="s">
        <v>107</v>
      </c>
      <c r="K18" s="50" t="s">
        <v>107</v>
      </c>
      <c r="L18" s="53" t="s">
        <v>107</v>
      </c>
      <c r="R18" t="str">
        <f ca="1">INDEX(INDIRECT($Q$5),14,$T$4)</f>
        <v>Not feasible</v>
      </c>
    </row>
    <row r="19" spans="1:18" x14ac:dyDescent="0.35">
      <c r="A19">
        <v>5800</v>
      </c>
      <c r="B19" s="46" t="s">
        <v>107</v>
      </c>
      <c r="C19" s="50" t="s">
        <v>107</v>
      </c>
      <c r="D19" s="50" t="s">
        <v>107</v>
      </c>
      <c r="E19" s="50" t="s">
        <v>107</v>
      </c>
      <c r="F19" s="50" t="s">
        <v>107</v>
      </c>
      <c r="G19" s="50" t="s">
        <v>107</v>
      </c>
      <c r="H19" s="50" t="s">
        <v>107</v>
      </c>
      <c r="I19" s="50" t="s">
        <v>107</v>
      </c>
      <c r="J19" s="50" t="s">
        <v>107</v>
      </c>
      <c r="K19" s="50" t="s">
        <v>107</v>
      </c>
      <c r="L19" s="53" t="s">
        <v>107</v>
      </c>
      <c r="R19" t="str">
        <f ca="1">INDEX(INDIRECT($Q$5),15,$T$4)</f>
        <v>Not feasible</v>
      </c>
    </row>
    <row r="20" spans="1:18" x14ac:dyDescent="0.35">
      <c r="A20">
        <v>6000</v>
      </c>
      <c r="B20" s="46" t="s">
        <v>107</v>
      </c>
      <c r="C20" s="50" t="s">
        <v>107</v>
      </c>
      <c r="D20" s="50" t="s">
        <v>107</v>
      </c>
      <c r="E20" s="50" t="s">
        <v>107</v>
      </c>
      <c r="F20" s="50" t="s">
        <v>107</v>
      </c>
      <c r="G20" s="50" t="s">
        <v>107</v>
      </c>
      <c r="H20" s="50" t="s">
        <v>107</v>
      </c>
      <c r="I20" s="50" t="s">
        <v>107</v>
      </c>
      <c r="J20" s="50" t="s">
        <v>107</v>
      </c>
      <c r="K20" s="50" t="s">
        <v>107</v>
      </c>
      <c r="L20" s="53" t="s">
        <v>107</v>
      </c>
      <c r="R20" t="str">
        <f ca="1">INDEX(INDIRECT($Q$5),16,$T$4)</f>
        <v>Not feasible</v>
      </c>
    </row>
    <row r="21" spans="1:18" x14ac:dyDescent="0.35">
      <c r="A21">
        <v>6200</v>
      </c>
      <c r="B21" s="46" t="s">
        <v>107</v>
      </c>
      <c r="C21" s="50" t="s">
        <v>107</v>
      </c>
      <c r="D21" s="50" t="s">
        <v>107</v>
      </c>
      <c r="E21" s="50" t="s">
        <v>107</v>
      </c>
      <c r="F21" s="50" t="s">
        <v>107</v>
      </c>
      <c r="G21" s="50" t="s">
        <v>107</v>
      </c>
      <c r="H21" s="50" t="s">
        <v>107</v>
      </c>
      <c r="I21" s="50" t="s">
        <v>107</v>
      </c>
      <c r="J21" s="50" t="s">
        <v>107</v>
      </c>
      <c r="K21" s="50" t="s">
        <v>107</v>
      </c>
      <c r="L21" s="53" t="s">
        <v>107</v>
      </c>
      <c r="R21" t="str">
        <f ca="1">INDEX(INDIRECT($Q$5),17,$T$4)</f>
        <v>Not feasible</v>
      </c>
    </row>
    <row r="22" spans="1:18" x14ac:dyDescent="0.35">
      <c r="A22">
        <v>6400</v>
      </c>
      <c r="B22" s="46" t="s">
        <v>107</v>
      </c>
      <c r="C22" s="50" t="s">
        <v>107</v>
      </c>
      <c r="D22" s="50" t="s">
        <v>107</v>
      </c>
      <c r="E22" s="50" t="s">
        <v>107</v>
      </c>
      <c r="F22" s="50" t="s">
        <v>107</v>
      </c>
      <c r="G22" s="50" t="s">
        <v>107</v>
      </c>
      <c r="H22" s="50" t="s">
        <v>107</v>
      </c>
      <c r="I22" s="50" t="s">
        <v>107</v>
      </c>
      <c r="J22" s="50" t="s">
        <v>107</v>
      </c>
      <c r="K22" s="50" t="s">
        <v>107</v>
      </c>
      <c r="L22" s="53" t="s">
        <v>107</v>
      </c>
      <c r="R22" t="str">
        <f ca="1">INDEX(INDIRECT($Q$5),18,$T$4)</f>
        <v>Not feasible</v>
      </c>
    </row>
    <row r="23" spans="1:18" x14ac:dyDescent="0.35">
      <c r="A23">
        <v>6600</v>
      </c>
      <c r="B23" s="46" t="s">
        <v>107</v>
      </c>
      <c r="C23" s="50" t="s">
        <v>107</v>
      </c>
      <c r="D23" s="50" t="s">
        <v>107</v>
      </c>
      <c r="E23" s="50" t="s">
        <v>107</v>
      </c>
      <c r="F23" s="50" t="s">
        <v>107</v>
      </c>
      <c r="G23" s="50" t="s">
        <v>107</v>
      </c>
      <c r="H23" s="50" t="s">
        <v>107</v>
      </c>
      <c r="I23" s="50" t="s">
        <v>107</v>
      </c>
      <c r="J23" s="50" t="s">
        <v>107</v>
      </c>
      <c r="K23" s="50" t="s">
        <v>107</v>
      </c>
      <c r="L23" s="53" t="s">
        <v>107</v>
      </c>
      <c r="R23" t="str">
        <f ca="1">INDEX(INDIRECT($Q$5),19,$T$4)</f>
        <v>Not feasible</v>
      </c>
    </row>
    <row r="24" spans="1:18" x14ac:dyDescent="0.35">
      <c r="A24">
        <v>6800</v>
      </c>
      <c r="B24" s="46" t="s">
        <v>107</v>
      </c>
      <c r="C24" s="50" t="s">
        <v>107</v>
      </c>
      <c r="D24" s="50" t="s">
        <v>107</v>
      </c>
      <c r="E24" s="50" t="s">
        <v>107</v>
      </c>
      <c r="F24" s="50" t="s">
        <v>107</v>
      </c>
      <c r="G24" s="50" t="s">
        <v>107</v>
      </c>
      <c r="H24" s="50" t="s">
        <v>107</v>
      </c>
      <c r="I24" s="50" t="s">
        <v>107</v>
      </c>
      <c r="J24" s="50" t="s">
        <v>107</v>
      </c>
      <c r="K24" s="50" t="s">
        <v>107</v>
      </c>
      <c r="L24" s="53" t="s">
        <v>107</v>
      </c>
      <c r="R24" t="str">
        <f ca="1">INDEX(INDIRECT($Q$5),20,$T$4)</f>
        <v>Not feasible</v>
      </c>
    </row>
    <row r="25" spans="1:18" x14ac:dyDescent="0.35">
      <c r="A25">
        <v>7000</v>
      </c>
      <c r="B25" s="48" t="s">
        <v>107</v>
      </c>
      <c r="C25" s="51" t="s">
        <v>107</v>
      </c>
      <c r="D25" s="51" t="s">
        <v>107</v>
      </c>
      <c r="E25" s="51" t="s">
        <v>107</v>
      </c>
      <c r="F25" s="51" t="s">
        <v>107</v>
      </c>
      <c r="G25" s="51" t="s">
        <v>107</v>
      </c>
      <c r="H25" s="51" t="s">
        <v>107</v>
      </c>
      <c r="I25" s="51" t="s">
        <v>107</v>
      </c>
      <c r="J25" s="51" t="s">
        <v>107</v>
      </c>
      <c r="K25" s="51" t="s">
        <v>107</v>
      </c>
      <c r="L25" s="54" t="s">
        <v>107</v>
      </c>
      <c r="R25" t="str">
        <f ca="1">INDEX(INDIRECT($Q$5),21,$T$4)</f>
        <v>Not feasible</v>
      </c>
    </row>
    <row r="27" spans="1:18" x14ac:dyDescent="0.35">
      <c r="A27" s="43" t="s">
        <v>87</v>
      </c>
      <c r="B27" s="42">
        <v>0.5</v>
      </c>
      <c r="C27" s="42">
        <v>0.55000001192092896</v>
      </c>
      <c r="D27" s="42">
        <v>0.60000002384185791</v>
      </c>
      <c r="E27" s="42">
        <v>0.64999997615814209</v>
      </c>
      <c r="F27" s="42">
        <v>0.69999998807907104</v>
      </c>
      <c r="G27" s="42">
        <v>0.75</v>
      </c>
      <c r="H27" s="42">
        <v>0.80000001192092896</v>
      </c>
      <c r="I27" s="42">
        <v>0.85000002384185791</v>
      </c>
      <c r="J27" s="42">
        <v>0.89999997615814209</v>
      </c>
      <c r="K27" s="42">
        <v>0.94999998807907104</v>
      </c>
      <c r="L27" s="42">
        <v>1</v>
      </c>
    </row>
    <row r="28" spans="1:18" x14ac:dyDescent="0.35">
      <c r="A28">
        <v>3000</v>
      </c>
      <c r="B28" s="45" t="s">
        <v>107</v>
      </c>
      <c r="C28" s="49" t="s">
        <v>107</v>
      </c>
      <c r="D28" s="49" t="s">
        <v>107</v>
      </c>
      <c r="E28" s="49" t="s">
        <v>107</v>
      </c>
      <c r="F28" s="49" t="s">
        <v>107</v>
      </c>
      <c r="G28" s="49" t="s">
        <v>107</v>
      </c>
      <c r="H28" s="49" t="s">
        <v>107</v>
      </c>
      <c r="I28" s="49" t="s">
        <v>107</v>
      </c>
      <c r="J28" s="49" t="s">
        <v>107</v>
      </c>
      <c r="K28" s="49" t="s">
        <v>107</v>
      </c>
      <c r="L28" s="52" t="s">
        <v>107</v>
      </c>
    </row>
    <row r="29" spans="1:18" x14ac:dyDescent="0.35">
      <c r="A29">
        <v>3200</v>
      </c>
      <c r="B29" s="46" t="s">
        <v>107</v>
      </c>
      <c r="C29" s="50" t="s">
        <v>107</v>
      </c>
      <c r="D29" s="50" t="s">
        <v>107</v>
      </c>
      <c r="E29" s="50" t="s">
        <v>107</v>
      </c>
      <c r="F29" s="50" t="s">
        <v>107</v>
      </c>
      <c r="G29" s="50" t="s">
        <v>107</v>
      </c>
      <c r="H29" s="50" t="s">
        <v>107</v>
      </c>
      <c r="I29" s="50" t="s">
        <v>107</v>
      </c>
      <c r="J29" s="50" t="s">
        <v>107</v>
      </c>
      <c r="K29" s="50" t="s">
        <v>107</v>
      </c>
      <c r="L29" s="53" t="s">
        <v>107</v>
      </c>
    </row>
    <row r="30" spans="1:18" x14ac:dyDescent="0.35">
      <c r="A30">
        <v>3400</v>
      </c>
      <c r="B30" s="46" t="s">
        <v>107</v>
      </c>
      <c r="C30" s="50" t="s">
        <v>107</v>
      </c>
      <c r="D30" s="50" t="s">
        <v>107</v>
      </c>
      <c r="E30" s="50" t="s">
        <v>107</v>
      </c>
      <c r="F30" s="50" t="s">
        <v>107</v>
      </c>
      <c r="G30" s="50" t="s">
        <v>107</v>
      </c>
      <c r="H30" s="50" t="s">
        <v>107</v>
      </c>
      <c r="I30" s="50" t="s">
        <v>107</v>
      </c>
      <c r="J30" s="50" t="s">
        <v>107</v>
      </c>
      <c r="K30" s="50" t="s">
        <v>107</v>
      </c>
      <c r="L30" s="53" t="s">
        <v>107</v>
      </c>
    </row>
    <row r="31" spans="1:18" x14ac:dyDescent="0.35">
      <c r="A31">
        <v>3600</v>
      </c>
      <c r="B31" s="46" t="s">
        <v>107</v>
      </c>
      <c r="C31" s="50" t="s">
        <v>107</v>
      </c>
      <c r="D31" s="50" t="s">
        <v>107</v>
      </c>
      <c r="E31" s="50" t="s">
        <v>107</v>
      </c>
      <c r="F31" s="50" t="s">
        <v>107</v>
      </c>
      <c r="G31" s="50" t="s">
        <v>107</v>
      </c>
      <c r="H31" s="50" t="s">
        <v>107</v>
      </c>
      <c r="I31" s="50" t="s">
        <v>107</v>
      </c>
      <c r="J31" s="50" t="s">
        <v>107</v>
      </c>
      <c r="K31" s="50" t="s">
        <v>107</v>
      </c>
      <c r="L31" s="53" t="s">
        <v>107</v>
      </c>
    </row>
    <row r="32" spans="1:18" x14ac:dyDescent="0.35">
      <c r="A32">
        <v>3800</v>
      </c>
      <c r="B32" s="46" t="s">
        <v>107</v>
      </c>
      <c r="C32" s="50" t="s">
        <v>107</v>
      </c>
      <c r="D32" s="50" t="s">
        <v>107</v>
      </c>
      <c r="E32" s="50" t="s">
        <v>107</v>
      </c>
      <c r="F32" s="50" t="s">
        <v>107</v>
      </c>
      <c r="G32" s="50" t="s">
        <v>107</v>
      </c>
      <c r="H32" s="50" t="s">
        <v>107</v>
      </c>
      <c r="I32" s="50" t="s">
        <v>107</v>
      </c>
      <c r="J32" s="50" t="s">
        <v>107</v>
      </c>
      <c r="K32" s="50" t="s">
        <v>107</v>
      </c>
      <c r="L32" s="53" t="s">
        <v>107</v>
      </c>
    </row>
    <row r="33" spans="1:12" x14ac:dyDescent="0.35">
      <c r="A33">
        <v>4000</v>
      </c>
      <c r="B33" s="46" t="s">
        <v>107</v>
      </c>
      <c r="C33" s="50" t="s">
        <v>107</v>
      </c>
      <c r="D33" s="50" t="s">
        <v>107</v>
      </c>
      <c r="E33" s="50" t="s">
        <v>107</v>
      </c>
      <c r="F33" s="50" t="s">
        <v>107</v>
      </c>
      <c r="G33" s="50" t="s">
        <v>107</v>
      </c>
      <c r="H33" s="50" t="s">
        <v>107</v>
      </c>
      <c r="I33" s="50" t="s">
        <v>107</v>
      </c>
      <c r="J33" s="50" t="s">
        <v>107</v>
      </c>
      <c r="K33" s="50" t="s">
        <v>107</v>
      </c>
      <c r="L33" s="53" t="s">
        <v>107</v>
      </c>
    </row>
    <row r="34" spans="1:12" x14ac:dyDescent="0.35">
      <c r="A34">
        <v>4200</v>
      </c>
      <c r="B34" s="46" t="s">
        <v>107</v>
      </c>
      <c r="C34" s="50" t="s">
        <v>107</v>
      </c>
      <c r="D34" s="50" t="s">
        <v>107</v>
      </c>
      <c r="E34" s="50" t="s">
        <v>107</v>
      </c>
      <c r="F34" s="50" t="s">
        <v>107</v>
      </c>
      <c r="G34" s="50" t="s">
        <v>107</v>
      </c>
      <c r="H34" s="50" t="s">
        <v>107</v>
      </c>
      <c r="I34" s="50" t="s">
        <v>107</v>
      </c>
      <c r="J34" s="50" t="s">
        <v>107</v>
      </c>
      <c r="K34" s="50" t="s">
        <v>107</v>
      </c>
      <c r="L34" s="53" t="s">
        <v>107</v>
      </c>
    </row>
    <row r="35" spans="1:12" x14ac:dyDescent="0.35">
      <c r="A35">
        <v>4400</v>
      </c>
      <c r="B35" s="46" t="s">
        <v>107</v>
      </c>
      <c r="C35" s="50" t="s">
        <v>107</v>
      </c>
      <c r="D35" s="50" t="s">
        <v>107</v>
      </c>
      <c r="E35" s="50" t="s">
        <v>107</v>
      </c>
      <c r="F35" s="50" t="s">
        <v>107</v>
      </c>
      <c r="G35" s="50" t="s">
        <v>107</v>
      </c>
      <c r="H35" s="50" t="s">
        <v>107</v>
      </c>
      <c r="I35" s="50" t="s">
        <v>107</v>
      </c>
      <c r="J35" s="50" t="s">
        <v>107</v>
      </c>
      <c r="K35" s="50" t="s">
        <v>107</v>
      </c>
      <c r="L35" s="53" t="s">
        <v>107</v>
      </c>
    </row>
    <row r="36" spans="1:12" x14ac:dyDescent="0.35">
      <c r="A36">
        <v>4600</v>
      </c>
      <c r="B36" s="46" t="s">
        <v>107</v>
      </c>
      <c r="C36" s="50" t="s">
        <v>107</v>
      </c>
      <c r="D36" s="50" t="s">
        <v>107</v>
      </c>
      <c r="E36" s="50" t="s">
        <v>107</v>
      </c>
      <c r="F36" s="50" t="s">
        <v>107</v>
      </c>
      <c r="G36" s="50" t="s">
        <v>107</v>
      </c>
      <c r="H36" s="50" t="s">
        <v>107</v>
      </c>
      <c r="I36" s="50" t="s">
        <v>107</v>
      </c>
      <c r="J36" s="50" t="s">
        <v>107</v>
      </c>
      <c r="K36" s="50" t="s">
        <v>107</v>
      </c>
      <c r="L36" s="53" t="s">
        <v>107</v>
      </c>
    </row>
    <row r="37" spans="1:12" x14ac:dyDescent="0.35">
      <c r="A37">
        <v>4800</v>
      </c>
      <c r="B37" s="46" t="s">
        <v>107</v>
      </c>
      <c r="C37" s="50" t="s">
        <v>107</v>
      </c>
      <c r="D37" s="50" t="s">
        <v>107</v>
      </c>
      <c r="E37" s="50" t="s">
        <v>107</v>
      </c>
      <c r="F37" s="50" t="s">
        <v>107</v>
      </c>
      <c r="G37" s="50" t="s">
        <v>107</v>
      </c>
      <c r="H37" s="50" t="s">
        <v>107</v>
      </c>
      <c r="I37" s="50" t="s">
        <v>107</v>
      </c>
      <c r="J37" s="50" t="s">
        <v>107</v>
      </c>
      <c r="K37" s="50" t="s">
        <v>107</v>
      </c>
      <c r="L37" s="53" t="s">
        <v>107</v>
      </c>
    </row>
    <row r="38" spans="1:12" x14ac:dyDescent="0.35">
      <c r="A38">
        <v>5000</v>
      </c>
      <c r="B38" s="47">
        <v>450</v>
      </c>
      <c r="C38">
        <v>450</v>
      </c>
      <c r="D38">
        <v>450</v>
      </c>
      <c r="E38">
        <v>450</v>
      </c>
      <c r="F38">
        <v>450</v>
      </c>
      <c r="G38">
        <v>450</v>
      </c>
      <c r="H38">
        <v>450</v>
      </c>
      <c r="I38">
        <v>450</v>
      </c>
      <c r="J38">
        <v>450</v>
      </c>
      <c r="K38" s="50" t="s">
        <v>107</v>
      </c>
      <c r="L38" s="53" t="s">
        <v>107</v>
      </c>
    </row>
    <row r="39" spans="1:12" x14ac:dyDescent="0.35">
      <c r="A39">
        <v>5200</v>
      </c>
      <c r="B39" s="47">
        <v>2340</v>
      </c>
      <c r="C39">
        <v>2340</v>
      </c>
      <c r="D39">
        <v>2340</v>
      </c>
      <c r="E39">
        <v>2340</v>
      </c>
      <c r="F39">
        <v>2340</v>
      </c>
      <c r="G39">
        <v>2340</v>
      </c>
      <c r="H39">
        <v>2340</v>
      </c>
      <c r="I39">
        <v>2340</v>
      </c>
      <c r="J39">
        <v>2340</v>
      </c>
      <c r="K39">
        <v>2080</v>
      </c>
      <c r="L39" s="53" t="s">
        <v>107</v>
      </c>
    </row>
    <row r="40" spans="1:12" x14ac:dyDescent="0.35">
      <c r="A40">
        <v>5400</v>
      </c>
      <c r="B40" s="47">
        <v>2700</v>
      </c>
      <c r="C40">
        <v>2700</v>
      </c>
      <c r="D40">
        <v>2700</v>
      </c>
      <c r="E40">
        <v>2700</v>
      </c>
      <c r="F40">
        <v>2700</v>
      </c>
      <c r="G40">
        <v>2700</v>
      </c>
      <c r="H40">
        <v>2700</v>
      </c>
      <c r="I40">
        <v>2700</v>
      </c>
      <c r="J40">
        <v>2700</v>
      </c>
      <c r="K40">
        <v>2700</v>
      </c>
      <c r="L40" s="53" t="s">
        <v>107</v>
      </c>
    </row>
    <row r="41" spans="1:12" x14ac:dyDescent="0.35">
      <c r="A41">
        <v>5600</v>
      </c>
      <c r="B41" s="46" t="s">
        <v>107</v>
      </c>
      <c r="C41" s="50" t="s">
        <v>107</v>
      </c>
      <c r="D41" s="50" t="s">
        <v>107</v>
      </c>
      <c r="E41" s="50" t="s">
        <v>107</v>
      </c>
      <c r="F41" s="50" t="s">
        <v>107</v>
      </c>
      <c r="G41" s="50" t="s">
        <v>107</v>
      </c>
      <c r="H41" s="50" t="s">
        <v>107</v>
      </c>
      <c r="I41" s="50" t="s">
        <v>107</v>
      </c>
      <c r="J41" s="50" t="s">
        <v>107</v>
      </c>
      <c r="K41" s="50" t="s">
        <v>107</v>
      </c>
      <c r="L41" s="53" t="s">
        <v>107</v>
      </c>
    </row>
    <row r="42" spans="1:12" x14ac:dyDescent="0.35">
      <c r="A42">
        <v>5800</v>
      </c>
      <c r="B42" s="46" t="s">
        <v>107</v>
      </c>
      <c r="C42" s="50" t="s">
        <v>107</v>
      </c>
      <c r="D42" s="50" t="s">
        <v>107</v>
      </c>
      <c r="E42" s="50" t="s">
        <v>107</v>
      </c>
      <c r="F42" s="50" t="s">
        <v>107</v>
      </c>
      <c r="G42" s="50" t="s">
        <v>107</v>
      </c>
      <c r="H42" s="50" t="s">
        <v>107</v>
      </c>
      <c r="I42" s="50" t="s">
        <v>107</v>
      </c>
      <c r="J42" s="50" t="s">
        <v>107</v>
      </c>
      <c r="K42" s="50" t="s">
        <v>107</v>
      </c>
      <c r="L42" s="53" t="s">
        <v>107</v>
      </c>
    </row>
    <row r="43" spans="1:12" x14ac:dyDescent="0.35">
      <c r="A43">
        <v>6000</v>
      </c>
      <c r="B43" s="46" t="s">
        <v>107</v>
      </c>
      <c r="C43" s="50" t="s">
        <v>107</v>
      </c>
      <c r="D43" s="50" t="s">
        <v>107</v>
      </c>
      <c r="E43" s="50" t="s">
        <v>107</v>
      </c>
      <c r="F43" s="50" t="s">
        <v>107</v>
      </c>
      <c r="G43" s="50" t="s">
        <v>107</v>
      </c>
      <c r="H43" s="50" t="s">
        <v>107</v>
      </c>
      <c r="I43" s="50" t="s">
        <v>107</v>
      </c>
      <c r="J43" s="50" t="s">
        <v>107</v>
      </c>
      <c r="K43" s="50" t="s">
        <v>107</v>
      </c>
      <c r="L43" s="53" t="s">
        <v>107</v>
      </c>
    </row>
    <row r="44" spans="1:12" x14ac:dyDescent="0.35">
      <c r="A44">
        <v>6200</v>
      </c>
      <c r="B44" s="46" t="s">
        <v>107</v>
      </c>
      <c r="C44" s="50" t="s">
        <v>107</v>
      </c>
      <c r="D44" s="50" t="s">
        <v>107</v>
      </c>
      <c r="E44" s="50" t="s">
        <v>107</v>
      </c>
      <c r="F44" s="50" t="s">
        <v>107</v>
      </c>
      <c r="G44" s="50" t="s">
        <v>107</v>
      </c>
      <c r="H44" s="50" t="s">
        <v>107</v>
      </c>
      <c r="I44" s="50" t="s">
        <v>107</v>
      </c>
      <c r="J44" s="50" t="s">
        <v>107</v>
      </c>
      <c r="K44" s="50" t="s">
        <v>107</v>
      </c>
      <c r="L44" s="53" t="s">
        <v>107</v>
      </c>
    </row>
    <row r="45" spans="1:12" x14ac:dyDescent="0.35">
      <c r="A45">
        <v>6400</v>
      </c>
      <c r="B45" s="46" t="s">
        <v>107</v>
      </c>
      <c r="C45" s="50" t="s">
        <v>107</v>
      </c>
      <c r="D45" s="50" t="s">
        <v>107</v>
      </c>
      <c r="E45" s="50" t="s">
        <v>107</v>
      </c>
      <c r="F45" s="50" t="s">
        <v>107</v>
      </c>
      <c r="G45" s="50" t="s">
        <v>107</v>
      </c>
      <c r="H45" s="50" t="s">
        <v>107</v>
      </c>
      <c r="I45" s="50" t="s">
        <v>107</v>
      </c>
      <c r="J45" s="50" t="s">
        <v>107</v>
      </c>
      <c r="K45" s="50" t="s">
        <v>107</v>
      </c>
      <c r="L45" s="53" t="s">
        <v>107</v>
      </c>
    </row>
    <row r="46" spans="1:12" x14ac:dyDescent="0.35">
      <c r="A46">
        <v>6600</v>
      </c>
      <c r="B46" s="46" t="s">
        <v>107</v>
      </c>
      <c r="C46" s="50" t="s">
        <v>107</v>
      </c>
      <c r="D46" s="50" t="s">
        <v>107</v>
      </c>
      <c r="E46" s="50" t="s">
        <v>107</v>
      </c>
      <c r="F46" s="50" t="s">
        <v>107</v>
      </c>
      <c r="G46" s="50" t="s">
        <v>107</v>
      </c>
      <c r="H46" s="50" t="s">
        <v>107</v>
      </c>
      <c r="I46" s="50" t="s">
        <v>107</v>
      </c>
      <c r="J46" s="50" t="s">
        <v>107</v>
      </c>
      <c r="K46" s="50" t="s">
        <v>107</v>
      </c>
      <c r="L46" s="53" t="s">
        <v>107</v>
      </c>
    </row>
    <row r="47" spans="1:12" x14ac:dyDescent="0.35">
      <c r="A47">
        <v>6800</v>
      </c>
      <c r="B47" s="46" t="s">
        <v>107</v>
      </c>
      <c r="C47" s="50" t="s">
        <v>107</v>
      </c>
      <c r="D47" s="50" t="s">
        <v>107</v>
      </c>
      <c r="E47" s="50" t="s">
        <v>107</v>
      </c>
      <c r="F47" s="50" t="s">
        <v>107</v>
      </c>
      <c r="G47" s="50" t="s">
        <v>107</v>
      </c>
      <c r="H47" s="50" t="s">
        <v>107</v>
      </c>
      <c r="I47" s="50" t="s">
        <v>107</v>
      </c>
      <c r="J47" s="50" t="s">
        <v>107</v>
      </c>
      <c r="K47" s="50" t="s">
        <v>107</v>
      </c>
      <c r="L47" s="53" t="s">
        <v>107</v>
      </c>
    </row>
    <row r="48" spans="1:12" x14ac:dyDescent="0.35">
      <c r="A48">
        <v>7000</v>
      </c>
      <c r="B48" s="48" t="s">
        <v>107</v>
      </c>
      <c r="C48" s="51" t="s">
        <v>107</v>
      </c>
      <c r="D48" s="51" t="s">
        <v>107</v>
      </c>
      <c r="E48" s="51" t="s">
        <v>107</v>
      </c>
      <c r="F48" s="51" t="s">
        <v>107</v>
      </c>
      <c r="G48" s="51" t="s">
        <v>107</v>
      </c>
      <c r="H48" s="51" t="s">
        <v>107</v>
      </c>
      <c r="I48" s="51" t="s">
        <v>107</v>
      </c>
      <c r="J48" s="51" t="s">
        <v>107</v>
      </c>
      <c r="K48" s="51" t="s">
        <v>107</v>
      </c>
      <c r="L48" s="54" t="s">
        <v>107</v>
      </c>
    </row>
    <row r="50" spans="1:12" x14ac:dyDescent="0.35">
      <c r="A50" s="43" t="s">
        <v>88</v>
      </c>
      <c r="B50" s="42">
        <v>0.5</v>
      </c>
      <c r="C50" s="42">
        <v>0.55000001192092896</v>
      </c>
      <c r="D50" s="42">
        <v>0.60000002384185791</v>
      </c>
      <c r="E50" s="42">
        <v>0.64999997615814209</v>
      </c>
      <c r="F50" s="42">
        <v>0.69999998807907104</v>
      </c>
      <c r="G50" s="42">
        <v>0.75</v>
      </c>
      <c r="H50" s="42">
        <v>0.80000001192092896</v>
      </c>
      <c r="I50" s="42">
        <v>0.85000002384185791</v>
      </c>
      <c r="J50" s="42">
        <v>0.89999997615814209</v>
      </c>
      <c r="K50" s="42">
        <v>0.94999998807907104</v>
      </c>
      <c r="L50" s="42">
        <v>1</v>
      </c>
    </row>
    <row r="51" spans="1:12" x14ac:dyDescent="0.35">
      <c r="A51">
        <v>3000</v>
      </c>
      <c r="B51" s="45" t="s">
        <v>107</v>
      </c>
      <c r="C51" s="49" t="s">
        <v>107</v>
      </c>
      <c r="D51" s="49" t="s">
        <v>107</v>
      </c>
      <c r="E51" s="49" t="s">
        <v>107</v>
      </c>
      <c r="F51" s="49" t="s">
        <v>107</v>
      </c>
      <c r="G51" s="49" t="s">
        <v>107</v>
      </c>
      <c r="H51" s="49" t="s">
        <v>107</v>
      </c>
      <c r="I51" s="49" t="s">
        <v>107</v>
      </c>
      <c r="J51" s="49" t="s">
        <v>107</v>
      </c>
      <c r="K51" s="49" t="s">
        <v>107</v>
      </c>
      <c r="L51" s="52" t="s">
        <v>107</v>
      </c>
    </row>
    <row r="52" spans="1:12" x14ac:dyDescent="0.35">
      <c r="A52">
        <v>3200</v>
      </c>
      <c r="B52" s="46" t="s">
        <v>107</v>
      </c>
      <c r="C52" s="50" t="s">
        <v>107</v>
      </c>
      <c r="D52" s="50" t="s">
        <v>107</v>
      </c>
      <c r="E52" s="50" t="s">
        <v>107</v>
      </c>
      <c r="F52" s="50" t="s">
        <v>107</v>
      </c>
      <c r="G52" s="50" t="s">
        <v>107</v>
      </c>
      <c r="H52" s="50" t="s">
        <v>107</v>
      </c>
      <c r="I52" s="50" t="s">
        <v>107</v>
      </c>
      <c r="J52" s="50" t="s">
        <v>107</v>
      </c>
      <c r="K52" s="50" t="s">
        <v>107</v>
      </c>
      <c r="L52" s="53" t="s">
        <v>107</v>
      </c>
    </row>
    <row r="53" spans="1:12" x14ac:dyDescent="0.35">
      <c r="A53">
        <v>3400</v>
      </c>
      <c r="B53" s="46" t="s">
        <v>107</v>
      </c>
      <c r="C53" s="50" t="s">
        <v>107</v>
      </c>
      <c r="D53" s="50" t="s">
        <v>107</v>
      </c>
      <c r="E53" s="50" t="s">
        <v>107</v>
      </c>
      <c r="F53" s="50" t="s">
        <v>107</v>
      </c>
      <c r="G53" s="50" t="s">
        <v>107</v>
      </c>
      <c r="H53" s="50" t="s">
        <v>107</v>
      </c>
      <c r="I53" s="50" t="s">
        <v>107</v>
      </c>
      <c r="J53" s="50" t="s">
        <v>107</v>
      </c>
      <c r="K53" s="50" t="s">
        <v>107</v>
      </c>
      <c r="L53" s="53" t="s">
        <v>107</v>
      </c>
    </row>
    <row r="54" spans="1:12" x14ac:dyDescent="0.35">
      <c r="A54">
        <v>3600</v>
      </c>
      <c r="B54" s="46" t="s">
        <v>107</v>
      </c>
      <c r="C54" s="50" t="s">
        <v>107</v>
      </c>
      <c r="D54" s="50" t="s">
        <v>107</v>
      </c>
      <c r="E54" s="50" t="s">
        <v>107</v>
      </c>
      <c r="F54" s="50" t="s">
        <v>107</v>
      </c>
      <c r="G54" s="50" t="s">
        <v>107</v>
      </c>
      <c r="H54" s="50" t="s">
        <v>107</v>
      </c>
      <c r="I54" s="50" t="s">
        <v>107</v>
      </c>
      <c r="J54" s="50" t="s">
        <v>107</v>
      </c>
      <c r="K54" s="50" t="s">
        <v>107</v>
      </c>
      <c r="L54" s="53" t="s">
        <v>107</v>
      </c>
    </row>
    <row r="55" spans="1:12" x14ac:dyDescent="0.35">
      <c r="A55">
        <v>3800</v>
      </c>
      <c r="B55" s="46" t="s">
        <v>107</v>
      </c>
      <c r="C55" s="50" t="s">
        <v>107</v>
      </c>
      <c r="D55" s="50" t="s">
        <v>107</v>
      </c>
      <c r="E55" s="50" t="s">
        <v>107</v>
      </c>
      <c r="F55" s="50" t="s">
        <v>107</v>
      </c>
      <c r="G55" s="50" t="s">
        <v>107</v>
      </c>
      <c r="H55" s="50" t="s">
        <v>107</v>
      </c>
      <c r="I55" s="50" t="s">
        <v>107</v>
      </c>
      <c r="J55" s="50" t="s">
        <v>107</v>
      </c>
      <c r="K55" s="50" t="s">
        <v>107</v>
      </c>
      <c r="L55" s="53" t="s">
        <v>107</v>
      </c>
    </row>
    <row r="56" spans="1:12" x14ac:dyDescent="0.35">
      <c r="A56">
        <v>4000</v>
      </c>
      <c r="B56" s="46" t="s">
        <v>107</v>
      </c>
      <c r="C56" s="50" t="s">
        <v>107</v>
      </c>
      <c r="D56" s="50" t="s">
        <v>107</v>
      </c>
      <c r="E56" s="50" t="s">
        <v>107</v>
      </c>
      <c r="F56" s="50" t="s">
        <v>107</v>
      </c>
      <c r="G56" s="50" t="s">
        <v>107</v>
      </c>
      <c r="H56" s="50" t="s">
        <v>107</v>
      </c>
      <c r="I56" s="50" t="s">
        <v>107</v>
      </c>
      <c r="J56" s="50" t="s">
        <v>107</v>
      </c>
      <c r="K56" s="50" t="s">
        <v>107</v>
      </c>
      <c r="L56" s="53" t="s">
        <v>107</v>
      </c>
    </row>
    <row r="57" spans="1:12" x14ac:dyDescent="0.35">
      <c r="A57">
        <v>4200</v>
      </c>
      <c r="B57" s="46" t="s">
        <v>107</v>
      </c>
      <c r="C57" s="50" t="s">
        <v>107</v>
      </c>
      <c r="D57" s="50" t="s">
        <v>107</v>
      </c>
      <c r="E57" s="50" t="s">
        <v>107</v>
      </c>
      <c r="F57" s="50" t="s">
        <v>107</v>
      </c>
      <c r="G57" s="50" t="s">
        <v>107</v>
      </c>
      <c r="H57" s="50" t="s">
        <v>107</v>
      </c>
      <c r="I57" s="50" t="s">
        <v>107</v>
      </c>
      <c r="J57" s="50" t="s">
        <v>107</v>
      </c>
      <c r="K57" s="50" t="s">
        <v>107</v>
      </c>
      <c r="L57" s="53" t="s">
        <v>107</v>
      </c>
    </row>
    <row r="58" spans="1:12" x14ac:dyDescent="0.35">
      <c r="A58">
        <v>4400</v>
      </c>
      <c r="B58" s="46" t="s">
        <v>107</v>
      </c>
      <c r="C58" s="50" t="s">
        <v>107</v>
      </c>
      <c r="D58" s="50" t="s">
        <v>107</v>
      </c>
      <c r="E58" s="50" t="s">
        <v>107</v>
      </c>
      <c r="F58" s="50" t="s">
        <v>107</v>
      </c>
      <c r="G58" s="50" t="s">
        <v>107</v>
      </c>
      <c r="H58" s="50" t="s">
        <v>107</v>
      </c>
      <c r="I58" s="50" t="s">
        <v>107</v>
      </c>
      <c r="J58" s="50" t="s">
        <v>107</v>
      </c>
      <c r="K58" s="50" t="s">
        <v>107</v>
      </c>
      <c r="L58" s="53" t="s">
        <v>107</v>
      </c>
    </row>
    <row r="59" spans="1:12" x14ac:dyDescent="0.35">
      <c r="A59">
        <v>4600</v>
      </c>
      <c r="B59" s="46" t="s">
        <v>107</v>
      </c>
      <c r="C59" s="50" t="s">
        <v>107</v>
      </c>
      <c r="D59" s="50" t="s">
        <v>107</v>
      </c>
      <c r="E59" s="50" t="s">
        <v>107</v>
      </c>
      <c r="F59" s="50" t="s">
        <v>107</v>
      </c>
      <c r="G59" s="50" t="s">
        <v>107</v>
      </c>
      <c r="H59" s="50" t="s">
        <v>107</v>
      </c>
      <c r="I59" s="50" t="s">
        <v>107</v>
      </c>
      <c r="J59" s="50" t="s">
        <v>107</v>
      </c>
      <c r="K59" s="50" t="s">
        <v>107</v>
      </c>
      <c r="L59" s="53" t="s">
        <v>107</v>
      </c>
    </row>
    <row r="60" spans="1:12" x14ac:dyDescent="0.35">
      <c r="A60">
        <v>4800</v>
      </c>
      <c r="B60" s="46" t="s">
        <v>107</v>
      </c>
      <c r="C60" s="50" t="s">
        <v>107</v>
      </c>
      <c r="D60" s="50" t="s">
        <v>107</v>
      </c>
      <c r="E60" s="50" t="s">
        <v>107</v>
      </c>
      <c r="F60" s="50" t="s">
        <v>107</v>
      </c>
      <c r="G60" s="50" t="s">
        <v>107</v>
      </c>
      <c r="H60" s="50" t="s">
        <v>107</v>
      </c>
      <c r="I60" s="50" t="s">
        <v>107</v>
      </c>
      <c r="J60" s="50" t="s">
        <v>107</v>
      </c>
      <c r="K60" s="50" t="s">
        <v>107</v>
      </c>
      <c r="L60" s="53" t="s">
        <v>107</v>
      </c>
    </row>
    <row r="61" spans="1:12" x14ac:dyDescent="0.35">
      <c r="A61">
        <v>5000</v>
      </c>
      <c r="B61" s="47">
        <v>0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 s="50" t="s">
        <v>107</v>
      </c>
      <c r="L61" s="53" t="s">
        <v>107</v>
      </c>
    </row>
    <row r="62" spans="1:12" x14ac:dyDescent="0.35">
      <c r="A62">
        <v>5200</v>
      </c>
      <c r="B62" s="47">
        <v>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520</v>
      </c>
      <c r="L62" s="53" t="s">
        <v>107</v>
      </c>
    </row>
    <row r="63" spans="1:12" x14ac:dyDescent="0.35">
      <c r="A63">
        <v>5400</v>
      </c>
      <c r="B63" s="47">
        <v>0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1600</v>
      </c>
      <c r="L63" s="53" t="s">
        <v>107</v>
      </c>
    </row>
    <row r="64" spans="1:12" x14ac:dyDescent="0.35">
      <c r="A64">
        <v>5600</v>
      </c>
      <c r="B64" s="46" t="s">
        <v>107</v>
      </c>
      <c r="C64" s="50" t="s">
        <v>107</v>
      </c>
      <c r="D64" s="50" t="s">
        <v>107</v>
      </c>
      <c r="E64" s="50" t="s">
        <v>107</v>
      </c>
      <c r="F64" s="50" t="s">
        <v>107</v>
      </c>
      <c r="G64" s="50" t="s">
        <v>107</v>
      </c>
      <c r="H64" s="50" t="s">
        <v>107</v>
      </c>
      <c r="I64" s="50" t="s">
        <v>107</v>
      </c>
      <c r="J64" s="50" t="s">
        <v>107</v>
      </c>
      <c r="K64" s="50" t="s">
        <v>107</v>
      </c>
      <c r="L64" s="53" t="s">
        <v>107</v>
      </c>
    </row>
    <row r="65" spans="1:12" x14ac:dyDescent="0.35">
      <c r="A65">
        <v>5800</v>
      </c>
      <c r="B65" s="46" t="s">
        <v>107</v>
      </c>
      <c r="C65" s="50" t="s">
        <v>107</v>
      </c>
      <c r="D65" s="50" t="s">
        <v>107</v>
      </c>
      <c r="E65" s="50" t="s">
        <v>107</v>
      </c>
      <c r="F65" s="50" t="s">
        <v>107</v>
      </c>
      <c r="G65" s="50" t="s">
        <v>107</v>
      </c>
      <c r="H65" s="50" t="s">
        <v>107</v>
      </c>
      <c r="I65" s="50" t="s">
        <v>107</v>
      </c>
      <c r="J65" s="50" t="s">
        <v>107</v>
      </c>
      <c r="K65" s="50" t="s">
        <v>107</v>
      </c>
      <c r="L65" s="53" t="s">
        <v>107</v>
      </c>
    </row>
    <row r="66" spans="1:12" x14ac:dyDescent="0.35">
      <c r="A66">
        <v>6000</v>
      </c>
      <c r="B66" s="46" t="s">
        <v>107</v>
      </c>
      <c r="C66" s="50" t="s">
        <v>107</v>
      </c>
      <c r="D66" s="50" t="s">
        <v>107</v>
      </c>
      <c r="E66" s="50" t="s">
        <v>107</v>
      </c>
      <c r="F66" s="50" t="s">
        <v>107</v>
      </c>
      <c r="G66" s="50" t="s">
        <v>107</v>
      </c>
      <c r="H66" s="50" t="s">
        <v>107</v>
      </c>
      <c r="I66" s="50" t="s">
        <v>107</v>
      </c>
      <c r="J66" s="50" t="s">
        <v>107</v>
      </c>
      <c r="K66" s="50" t="s">
        <v>107</v>
      </c>
      <c r="L66" s="53" t="s">
        <v>107</v>
      </c>
    </row>
    <row r="67" spans="1:12" x14ac:dyDescent="0.35">
      <c r="A67">
        <v>6200</v>
      </c>
      <c r="B67" s="46" t="s">
        <v>107</v>
      </c>
      <c r="C67" s="50" t="s">
        <v>107</v>
      </c>
      <c r="D67" s="50" t="s">
        <v>107</v>
      </c>
      <c r="E67" s="50" t="s">
        <v>107</v>
      </c>
      <c r="F67" s="50" t="s">
        <v>107</v>
      </c>
      <c r="G67" s="50" t="s">
        <v>107</v>
      </c>
      <c r="H67" s="50" t="s">
        <v>107</v>
      </c>
      <c r="I67" s="50" t="s">
        <v>107</v>
      </c>
      <c r="J67" s="50" t="s">
        <v>107</v>
      </c>
      <c r="K67" s="50" t="s">
        <v>107</v>
      </c>
      <c r="L67" s="53" t="s">
        <v>107</v>
      </c>
    </row>
    <row r="68" spans="1:12" x14ac:dyDescent="0.35">
      <c r="A68">
        <v>6400</v>
      </c>
      <c r="B68" s="46" t="s">
        <v>107</v>
      </c>
      <c r="C68" s="50" t="s">
        <v>107</v>
      </c>
      <c r="D68" s="50" t="s">
        <v>107</v>
      </c>
      <c r="E68" s="50" t="s">
        <v>107</v>
      </c>
      <c r="F68" s="50" t="s">
        <v>107</v>
      </c>
      <c r="G68" s="50" t="s">
        <v>107</v>
      </c>
      <c r="H68" s="50" t="s">
        <v>107</v>
      </c>
      <c r="I68" s="50" t="s">
        <v>107</v>
      </c>
      <c r="J68" s="50" t="s">
        <v>107</v>
      </c>
      <c r="K68" s="50" t="s">
        <v>107</v>
      </c>
      <c r="L68" s="53" t="s">
        <v>107</v>
      </c>
    </row>
    <row r="69" spans="1:12" x14ac:dyDescent="0.35">
      <c r="A69">
        <v>6600</v>
      </c>
      <c r="B69" s="46" t="s">
        <v>107</v>
      </c>
      <c r="C69" s="50" t="s">
        <v>107</v>
      </c>
      <c r="D69" s="50" t="s">
        <v>107</v>
      </c>
      <c r="E69" s="50" t="s">
        <v>107</v>
      </c>
      <c r="F69" s="50" t="s">
        <v>107</v>
      </c>
      <c r="G69" s="50" t="s">
        <v>107</v>
      </c>
      <c r="H69" s="50" t="s">
        <v>107</v>
      </c>
      <c r="I69" s="50" t="s">
        <v>107</v>
      </c>
      <c r="J69" s="50" t="s">
        <v>107</v>
      </c>
      <c r="K69" s="50" t="s">
        <v>107</v>
      </c>
      <c r="L69" s="53" t="s">
        <v>107</v>
      </c>
    </row>
    <row r="70" spans="1:12" x14ac:dyDescent="0.35">
      <c r="A70">
        <v>6800</v>
      </c>
      <c r="B70" s="46" t="s">
        <v>107</v>
      </c>
      <c r="C70" s="50" t="s">
        <v>107</v>
      </c>
      <c r="D70" s="50" t="s">
        <v>107</v>
      </c>
      <c r="E70" s="50" t="s">
        <v>107</v>
      </c>
      <c r="F70" s="50" t="s">
        <v>107</v>
      </c>
      <c r="G70" s="50" t="s">
        <v>107</v>
      </c>
      <c r="H70" s="50" t="s">
        <v>107</v>
      </c>
      <c r="I70" s="50" t="s">
        <v>107</v>
      </c>
      <c r="J70" s="50" t="s">
        <v>107</v>
      </c>
      <c r="K70" s="50" t="s">
        <v>107</v>
      </c>
      <c r="L70" s="53" t="s">
        <v>107</v>
      </c>
    </row>
    <row r="71" spans="1:12" x14ac:dyDescent="0.35">
      <c r="A71">
        <v>7000</v>
      </c>
      <c r="B71" s="48" t="s">
        <v>107</v>
      </c>
      <c r="C71" s="51" t="s">
        <v>107</v>
      </c>
      <c r="D71" s="51" t="s">
        <v>107</v>
      </c>
      <c r="E71" s="51" t="s">
        <v>107</v>
      </c>
      <c r="F71" s="51" t="s">
        <v>107</v>
      </c>
      <c r="G71" s="51" t="s">
        <v>107</v>
      </c>
      <c r="H71" s="51" t="s">
        <v>107</v>
      </c>
      <c r="I71" s="51" t="s">
        <v>107</v>
      </c>
      <c r="J71" s="51" t="s">
        <v>107</v>
      </c>
      <c r="K71" s="51" t="s">
        <v>107</v>
      </c>
      <c r="L71" s="54" t="s">
        <v>107</v>
      </c>
    </row>
    <row r="73" spans="1:12" x14ac:dyDescent="0.35">
      <c r="A73" s="43" t="s">
        <v>89</v>
      </c>
      <c r="B73" s="42">
        <v>0.5</v>
      </c>
      <c r="C73" s="42">
        <v>0.55000001192092896</v>
      </c>
      <c r="D73" s="42">
        <v>0.60000002384185791</v>
      </c>
      <c r="E73" s="42">
        <v>0.64999997615814209</v>
      </c>
      <c r="F73" s="42">
        <v>0.69999998807907104</v>
      </c>
      <c r="G73" s="42">
        <v>0.75</v>
      </c>
      <c r="H73" s="42">
        <v>0.80000001192092896</v>
      </c>
      <c r="I73" s="42">
        <v>0.85000002384185791</v>
      </c>
      <c r="J73" s="42">
        <v>0.89999997615814209</v>
      </c>
      <c r="K73" s="42">
        <v>0.94999998807907104</v>
      </c>
      <c r="L73" s="42">
        <v>1</v>
      </c>
    </row>
    <row r="74" spans="1:12" x14ac:dyDescent="0.35">
      <c r="A74">
        <v>3000</v>
      </c>
      <c r="B74" s="45" t="s">
        <v>107</v>
      </c>
      <c r="C74" s="49" t="s">
        <v>107</v>
      </c>
      <c r="D74" s="49" t="s">
        <v>107</v>
      </c>
      <c r="E74" s="49" t="s">
        <v>107</v>
      </c>
      <c r="F74" s="49" t="s">
        <v>107</v>
      </c>
      <c r="G74" s="49" t="s">
        <v>107</v>
      </c>
      <c r="H74" s="49" t="s">
        <v>107</v>
      </c>
      <c r="I74" s="49" t="s">
        <v>107</v>
      </c>
      <c r="J74" s="49" t="s">
        <v>107</v>
      </c>
      <c r="K74" s="49" t="s">
        <v>107</v>
      </c>
      <c r="L74" s="52" t="s">
        <v>107</v>
      </c>
    </row>
    <row r="75" spans="1:12" x14ac:dyDescent="0.35">
      <c r="A75">
        <v>3200</v>
      </c>
      <c r="B75" s="46" t="s">
        <v>107</v>
      </c>
      <c r="C75" s="50" t="s">
        <v>107</v>
      </c>
      <c r="D75" s="50" t="s">
        <v>107</v>
      </c>
      <c r="E75" s="50" t="s">
        <v>107</v>
      </c>
      <c r="F75" s="50" t="s">
        <v>107</v>
      </c>
      <c r="G75" s="50" t="s">
        <v>107</v>
      </c>
      <c r="H75" s="50" t="s">
        <v>107</v>
      </c>
      <c r="I75" s="50" t="s">
        <v>107</v>
      </c>
      <c r="J75" s="50" t="s">
        <v>107</v>
      </c>
      <c r="K75" s="50" t="s">
        <v>107</v>
      </c>
      <c r="L75" s="53" t="s">
        <v>107</v>
      </c>
    </row>
    <row r="76" spans="1:12" x14ac:dyDescent="0.35">
      <c r="A76">
        <v>3400</v>
      </c>
      <c r="B76" s="46" t="s">
        <v>107</v>
      </c>
      <c r="C76" s="50" t="s">
        <v>107</v>
      </c>
      <c r="D76" s="50" t="s">
        <v>107</v>
      </c>
      <c r="E76" s="50" t="s">
        <v>107</v>
      </c>
      <c r="F76" s="50" t="s">
        <v>107</v>
      </c>
      <c r="G76" s="50" t="s">
        <v>107</v>
      </c>
      <c r="H76" s="50" t="s">
        <v>107</v>
      </c>
      <c r="I76" s="50" t="s">
        <v>107</v>
      </c>
      <c r="J76" s="50" t="s">
        <v>107</v>
      </c>
      <c r="K76" s="50" t="s">
        <v>107</v>
      </c>
      <c r="L76" s="53" t="s">
        <v>107</v>
      </c>
    </row>
    <row r="77" spans="1:12" x14ac:dyDescent="0.35">
      <c r="A77">
        <v>3600</v>
      </c>
      <c r="B77" s="46" t="s">
        <v>107</v>
      </c>
      <c r="C77" s="50" t="s">
        <v>107</v>
      </c>
      <c r="D77" s="50" t="s">
        <v>107</v>
      </c>
      <c r="E77" s="50" t="s">
        <v>107</v>
      </c>
      <c r="F77" s="50" t="s">
        <v>107</v>
      </c>
      <c r="G77" s="50" t="s">
        <v>107</v>
      </c>
      <c r="H77" s="50" t="s">
        <v>107</v>
      </c>
      <c r="I77" s="50" t="s">
        <v>107</v>
      </c>
      <c r="J77" s="50" t="s">
        <v>107</v>
      </c>
      <c r="K77" s="50" t="s">
        <v>107</v>
      </c>
      <c r="L77" s="53" t="s">
        <v>107</v>
      </c>
    </row>
    <row r="78" spans="1:12" x14ac:dyDescent="0.35">
      <c r="A78">
        <v>3800</v>
      </c>
      <c r="B78" s="46" t="s">
        <v>107</v>
      </c>
      <c r="C78" s="50" t="s">
        <v>107</v>
      </c>
      <c r="D78" s="50" t="s">
        <v>107</v>
      </c>
      <c r="E78" s="50" t="s">
        <v>107</v>
      </c>
      <c r="F78" s="50" t="s">
        <v>107</v>
      </c>
      <c r="G78" s="50" t="s">
        <v>107</v>
      </c>
      <c r="H78" s="50" t="s">
        <v>107</v>
      </c>
      <c r="I78" s="50" t="s">
        <v>107</v>
      </c>
      <c r="J78" s="50" t="s">
        <v>107</v>
      </c>
      <c r="K78" s="50" t="s">
        <v>107</v>
      </c>
      <c r="L78" s="53" t="s">
        <v>107</v>
      </c>
    </row>
    <row r="79" spans="1:12" x14ac:dyDescent="0.35">
      <c r="A79">
        <v>4000</v>
      </c>
      <c r="B79" s="46" t="s">
        <v>107</v>
      </c>
      <c r="C79" s="50" t="s">
        <v>107</v>
      </c>
      <c r="D79" s="50" t="s">
        <v>107</v>
      </c>
      <c r="E79" s="50" t="s">
        <v>107</v>
      </c>
      <c r="F79" s="50" t="s">
        <v>107</v>
      </c>
      <c r="G79" s="50" t="s">
        <v>107</v>
      </c>
      <c r="H79" s="50" t="s">
        <v>107</v>
      </c>
      <c r="I79" s="50" t="s">
        <v>107</v>
      </c>
      <c r="J79" s="50" t="s">
        <v>107</v>
      </c>
      <c r="K79" s="50" t="s">
        <v>107</v>
      </c>
      <c r="L79" s="53" t="s">
        <v>107</v>
      </c>
    </row>
    <row r="80" spans="1:12" x14ac:dyDescent="0.35">
      <c r="A80">
        <v>4200</v>
      </c>
      <c r="B80" s="46" t="s">
        <v>107</v>
      </c>
      <c r="C80" s="50" t="s">
        <v>107</v>
      </c>
      <c r="D80" s="50" t="s">
        <v>107</v>
      </c>
      <c r="E80" s="50" t="s">
        <v>107</v>
      </c>
      <c r="F80" s="50" t="s">
        <v>107</v>
      </c>
      <c r="G80" s="50" t="s">
        <v>107</v>
      </c>
      <c r="H80" s="50" t="s">
        <v>107</v>
      </c>
      <c r="I80" s="50" t="s">
        <v>107</v>
      </c>
      <c r="J80" s="50" t="s">
        <v>107</v>
      </c>
      <c r="K80" s="50" t="s">
        <v>107</v>
      </c>
      <c r="L80" s="53" t="s">
        <v>107</v>
      </c>
    </row>
    <row r="81" spans="1:12" x14ac:dyDescent="0.35">
      <c r="A81">
        <v>4400</v>
      </c>
      <c r="B81" s="46" t="s">
        <v>107</v>
      </c>
      <c r="C81" s="50" t="s">
        <v>107</v>
      </c>
      <c r="D81" s="50" t="s">
        <v>107</v>
      </c>
      <c r="E81" s="50" t="s">
        <v>107</v>
      </c>
      <c r="F81" s="50" t="s">
        <v>107</v>
      </c>
      <c r="G81" s="50" t="s">
        <v>107</v>
      </c>
      <c r="H81" s="50" t="s">
        <v>107</v>
      </c>
      <c r="I81" s="50" t="s">
        <v>107</v>
      </c>
      <c r="J81" s="50" t="s">
        <v>107</v>
      </c>
      <c r="K81" s="50" t="s">
        <v>107</v>
      </c>
      <c r="L81" s="53" t="s">
        <v>107</v>
      </c>
    </row>
    <row r="82" spans="1:12" x14ac:dyDescent="0.35">
      <c r="A82">
        <v>4600</v>
      </c>
      <c r="B82" s="46" t="s">
        <v>107</v>
      </c>
      <c r="C82" s="50" t="s">
        <v>107</v>
      </c>
      <c r="D82" s="50" t="s">
        <v>107</v>
      </c>
      <c r="E82" s="50" t="s">
        <v>107</v>
      </c>
      <c r="F82" s="50" t="s">
        <v>107</v>
      </c>
      <c r="G82" s="50" t="s">
        <v>107</v>
      </c>
      <c r="H82" s="50" t="s">
        <v>107</v>
      </c>
      <c r="I82" s="50" t="s">
        <v>107</v>
      </c>
      <c r="J82" s="50" t="s">
        <v>107</v>
      </c>
      <c r="K82" s="50" t="s">
        <v>107</v>
      </c>
      <c r="L82" s="53" t="s">
        <v>107</v>
      </c>
    </row>
    <row r="83" spans="1:12" x14ac:dyDescent="0.35">
      <c r="A83">
        <v>4800</v>
      </c>
      <c r="B83" s="46" t="s">
        <v>107</v>
      </c>
      <c r="C83" s="50" t="s">
        <v>107</v>
      </c>
      <c r="D83" s="50" t="s">
        <v>107</v>
      </c>
      <c r="E83" s="50" t="s">
        <v>107</v>
      </c>
      <c r="F83" s="50" t="s">
        <v>107</v>
      </c>
      <c r="G83" s="50" t="s">
        <v>107</v>
      </c>
      <c r="H83" s="50" t="s">
        <v>107</v>
      </c>
      <c r="I83" s="50" t="s">
        <v>107</v>
      </c>
      <c r="J83" s="50" t="s">
        <v>107</v>
      </c>
      <c r="K83" s="50" t="s">
        <v>107</v>
      </c>
      <c r="L83" s="53" t="s">
        <v>107</v>
      </c>
    </row>
    <row r="84" spans="1:12" x14ac:dyDescent="0.35">
      <c r="A84">
        <v>5000</v>
      </c>
      <c r="B84" s="47">
        <v>2500</v>
      </c>
      <c r="C84">
        <v>2500</v>
      </c>
      <c r="D84">
        <v>2500</v>
      </c>
      <c r="E84">
        <v>2500</v>
      </c>
      <c r="F84">
        <v>2500</v>
      </c>
      <c r="G84">
        <v>2500</v>
      </c>
      <c r="H84">
        <v>2500</v>
      </c>
      <c r="I84">
        <v>2500</v>
      </c>
      <c r="J84">
        <v>2500</v>
      </c>
      <c r="K84" s="50" t="s">
        <v>107</v>
      </c>
      <c r="L84" s="53" t="s">
        <v>107</v>
      </c>
    </row>
    <row r="85" spans="1:12" x14ac:dyDescent="0.35">
      <c r="A85">
        <v>5200</v>
      </c>
      <c r="B85" s="47">
        <v>2600</v>
      </c>
      <c r="C85">
        <v>2600</v>
      </c>
      <c r="D85">
        <v>2600</v>
      </c>
      <c r="E85">
        <v>2600</v>
      </c>
      <c r="F85">
        <v>2600</v>
      </c>
      <c r="G85">
        <v>2600</v>
      </c>
      <c r="H85">
        <v>2600</v>
      </c>
      <c r="I85">
        <v>2600</v>
      </c>
      <c r="J85">
        <v>2600</v>
      </c>
      <c r="K85">
        <v>0</v>
      </c>
      <c r="L85" s="53" t="s">
        <v>107</v>
      </c>
    </row>
    <row r="86" spans="1:12" x14ac:dyDescent="0.35">
      <c r="A86">
        <v>5400</v>
      </c>
      <c r="B86" s="47">
        <v>2700</v>
      </c>
      <c r="C86">
        <v>2700</v>
      </c>
      <c r="D86">
        <v>2700</v>
      </c>
      <c r="E86">
        <v>2700</v>
      </c>
      <c r="F86">
        <v>2700</v>
      </c>
      <c r="G86">
        <v>2700</v>
      </c>
      <c r="H86">
        <v>2700</v>
      </c>
      <c r="I86">
        <v>2700</v>
      </c>
      <c r="J86">
        <v>2700</v>
      </c>
      <c r="K86">
        <v>1100</v>
      </c>
      <c r="L86" s="53" t="s">
        <v>107</v>
      </c>
    </row>
    <row r="87" spans="1:12" x14ac:dyDescent="0.35">
      <c r="A87">
        <v>5600</v>
      </c>
      <c r="B87" s="46" t="s">
        <v>107</v>
      </c>
      <c r="C87" s="50" t="s">
        <v>107</v>
      </c>
      <c r="D87" s="50" t="s">
        <v>107</v>
      </c>
      <c r="E87" s="50" t="s">
        <v>107</v>
      </c>
      <c r="F87" s="50" t="s">
        <v>107</v>
      </c>
      <c r="G87" s="50" t="s">
        <v>107</v>
      </c>
      <c r="H87" s="50" t="s">
        <v>107</v>
      </c>
      <c r="I87" s="50" t="s">
        <v>107</v>
      </c>
      <c r="J87" s="50" t="s">
        <v>107</v>
      </c>
      <c r="K87" s="50" t="s">
        <v>107</v>
      </c>
      <c r="L87" s="53" t="s">
        <v>107</v>
      </c>
    </row>
    <row r="88" spans="1:12" x14ac:dyDescent="0.35">
      <c r="A88">
        <v>5800</v>
      </c>
      <c r="B88" s="46" t="s">
        <v>107</v>
      </c>
      <c r="C88" s="50" t="s">
        <v>107</v>
      </c>
      <c r="D88" s="50" t="s">
        <v>107</v>
      </c>
      <c r="E88" s="50" t="s">
        <v>107</v>
      </c>
      <c r="F88" s="50" t="s">
        <v>107</v>
      </c>
      <c r="G88" s="50" t="s">
        <v>107</v>
      </c>
      <c r="H88" s="50" t="s">
        <v>107</v>
      </c>
      <c r="I88" s="50" t="s">
        <v>107</v>
      </c>
      <c r="J88" s="50" t="s">
        <v>107</v>
      </c>
      <c r="K88" s="50" t="s">
        <v>107</v>
      </c>
      <c r="L88" s="53" t="s">
        <v>107</v>
      </c>
    </row>
    <row r="89" spans="1:12" x14ac:dyDescent="0.35">
      <c r="A89">
        <v>6000</v>
      </c>
      <c r="B89" s="46" t="s">
        <v>107</v>
      </c>
      <c r="C89" s="50" t="s">
        <v>107</v>
      </c>
      <c r="D89" s="50" t="s">
        <v>107</v>
      </c>
      <c r="E89" s="50" t="s">
        <v>107</v>
      </c>
      <c r="F89" s="50" t="s">
        <v>107</v>
      </c>
      <c r="G89" s="50" t="s">
        <v>107</v>
      </c>
      <c r="H89" s="50" t="s">
        <v>107</v>
      </c>
      <c r="I89" s="50" t="s">
        <v>107</v>
      </c>
      <c r="J89" s="50" t="s">
        <v>107</v>
      </c>
      <c r="K89" s="50" t="s">
        <v>107</v>
      </c>
      <c r="L89" s="53" t="s">
        <v>107</v>
      </c>
    </row>
    <row r="90" spans="1:12" x14ac:dyDescent="0.35">
      <c r="A90">
        <v>6200</v>
      </c>
      <c r="B90" s="46" t="s">
        <v>107</v>
      </c>
      <c r="C90" s="50" t="s">
        <v>107</v>
      </c>
      <c r="D90" s="50" t="s">
        <v>107</v>
      </c>
      <c r="E90" s="50" t="s">
        <v>107</v>
      </c>
      <c r="F90" s="50" t="s">
        <v>107</v>
      </c>
      <c r="G90" s="50" t="s">
        <v>107</v>
      </c>
      <c r="H90" s="50" t="s">
        <v>107</v>
      </c>
      <c r="I90" s="50" t="s">
        <v>107</v>
      </c>
      <c r="J90" s="50" t="s">
        <v>107</v>
      </c>
      <c r="K90" s="50" t="s">
        <v>107</v>
      </c>
      <c r="L90" s="53" t="s">
        <v>107</v>
      </c>
    </row>
    <row r="91" spans="1:12" x14ac:dyDescent="0.35">
      <c r="A91">
        <v>6400</v>
      </c>
      <c r="B91" s="46" t="s">
        <v>107</v>
      </c>
      <c r="C91" s="50" t="s">
        <v>107</v>
      </c>
      <c r="D91" s="50" t="s">
        <v>107</v>
      </c>
      <c r="E91" s="50" t="s">
        <v>107</v>
      </c>
      <c r="F91" s="50" t="s">
        <v>107</v>
      </c>
      <c r="G91" s="50" t="s">
        <v>107</v>
      </c>
      <c r="H91" s="50" t="s">
        <v>107</v>
      </c>
      <c r="I91" s="50" t="s">
        <v>107</v>
      </c>
      <c r="J91" s="50" t="s">
        <v>107</v>
      </c>
      <c r="K91" s="50" t="s">
        <v>107</v>
      </c>
      <c r="L91" s="53" t="s">
        <v>107</v>
      </c>
    </row>
    <row r="92" spans="1:12" x14ac:dyDescent="0.35">
      <c r="A92">
        <v>6600</v>
      </c>
      <c r="B92" s="46" t="s">
        <v>107</v>
      </c>
      <c r="C92" s="50" t="s">
        <v>107</v>
      </c>
      <c r="D92" s="50" t="s">
        <v>107</v>
      </c>
      <c r="E92" s="50" t="s">
        <v>107</v>
      </c>
      <c r="F92" s="50" t="s">
        <v>107</v>
      </c>
      <c r="G92" s="50" t="s">
        <v>107</v>
      </c>
      <c r="H92" s="50" t="s">
        <v>107</v>
      </c>
      <c r="I92" s="50" t="s">
        <v>107</v>
      </c>
      <c r="J92" s="50" t="s">
        <v>107</v>
      </c>
      <c r="K92" s="50" t="s">
        <v>107</v>
      </c>
      <c r="L92" s="53" t="s">
        <v>107</v>
      </c>
    </row>
    <row r="93" spans="1:12" x14ac:dyDescent="0.35">
      <c r="A93">
        <v>6800</v>
      </c>
      <c r="B93" s="46" t="s">
        <v>107</v>
      </c>
      <c r="C93" s="50" t="s">
        <v>107</v>
      </c>
      <c r="D93" s="50" t="s">
        <v>107</v>
      </c>
      <c r="E93" s="50" t="s">
        <v>107</v>
      </c>
      <c r="F93" s="50" t="s">
        <v>107</v>
      </c>
      <c r="G93" s="50" t="s">
        <v>107</v>
      </c>
      <c r="H93" s="50" t="s">
        <v>107</v>
      </c>
      <c r="I93" s="50" t="s">
        <v>107</v>
      </c>
      <c r="J93" s="50" t="s">
        <v>107</v>
      </c>
      <c r="K93" s="50" t="s">
        <v>107</v>
      </c>
      <c r="L93" s="53" t="s">
        <v>107</v>
      </c>
    </row>
    <row r="94" spans="1:12" x14ac:dyDescent="0.35">
      <c r="A94">
        <v>7000</v>
      </c>
      <c r="B94" s="48" t="s">
        <v>107</v>
      </c>
      <c r="C94" s="51" t="s">
        <v>107</v>
      </c>
      <c r="D94" s="51" t="s">
        <v>107</v>
      </c>
      <c r="E94" s="51" t="s">
        <v>107</v>
      </c>
      <c r="F94" s="51" t="s">
        <v>107</v>
      </c>
      <c r="G94" s="51" t="s">
        <v>107</v>
      </c>
      <c r="H94" s="51" t="s">
        <v>107</v>
      </c>
      <c r="I94" s="51" t="s">
        <v>107</v>
      </c>
      <c r="J94" s="51" t="s">
        <v>107</v>
      </c>
      <c r="K94" s="51" t="s">
        <v>107</v>
      </c>
      <c r="L94" s="54" t="s">
        <v>107</v>
      </c>
    </row>
    <row r="96" spans="1:12" x14ac:dyDescent="0.35">
      <c r="A96" s="43" t="s">
        <v>82</v>
      </c>
      <c r="B96" s="42">
        <v>0.5</v>
      </c>
      <c r="C96" s="42">
        <v>0.55000001192092896</v>
      </c>
      <c r="D96" s="42">
        <v>0.60000002384185791</v>
      </c>
      <c r="E96" s="42">
        <v>0.64999997615814209</v>
      </c>
      <c r="F96" s="42">
        <v>0.69999998807907104</v>
      </c>
      <c r="G96" s="42">
        <v>0.75</v>
      </c>
      <c r="H96" s="42">
        <v>0.80000001192092896</v>
      </c>
      <c r="I96" s="42">
        <v>0.85000002384185791</v>
      </c>
      <c r="J96" s="42">
        <v>0.89999997615814209</v>
      </c>
      <c r="K96" s="42">
        <v>0.94999998807907104</v>
      </c>
      <c r="L96" s="42">
        <v>1</v>
      </c>
    </row>
    <row r="97" spans="1:12" x14ac:dyDescent="0.35">
      <c r="A97">
        <v>3000</v>
      </c>
      <c r="B97" s="45" t="s">
        <v>107</v>
      </c>
      <c r="C97" s="49" t="s">
        <v>107</v>
      </c>
      <c r="D97" s="49" t="s">
        <v>107</v>
      </c>
      <c r="E97" s="49" t="s">
        <v>107</v>
      </c>
      <c r="F97" s="49" t="s">
        <v>107</v>
      </c>
      <c r="G97" s="49" t="s">
        <v>107</v>
      </c>
      <c r="H97" s="49" t="s">
        <v>107</v>
      </c>
      <c r="I97" s="49" t="s">
        <v>107</v>
      </c>
      <c r="J97" s="49" t="s">
        <v>107</v>
      </c>
      <c r="K97" s="49" t="s">
        <v>107</v>
      </c>
      <c r="L97" s="52" t="s">
        <v>107</v>
      </c>
    </row>
    <row r="98" spans="1:12" x14ac:dyDescent="0.35">
      <c r="A98">
        <v>3200</v>
      </c>
      <c r="B98" s="46" t="s">
        <v>107</v>
      </c>
      <c r="C98" s="50" t="s">
        <v>107</v>
      </c>
      <c r="D98" s="50" t="s">
        <v>107</v>
      </c>
      <c r="E98" s="50" t="s">
        <v>107</v>
      </c>
      <c r="F98" s="50" t="s">
        <v>107</v>
      </c>
      <c r="G98" s="50" t="s">
        <v>107</v>
      </c>
      <c r="H98" s="50" t="s">
        <v>107</v>
      </c>
      <c r="I98" s="50" t="s">
        <v>107</v>
      </c>
      <c r="J98" s="50" t="s">
        <v>107</v>
      </c>
      <c r="K98" s="50" t="s">
        <v>107</v>
      </c>
      <c r="L98" s="53" t="s">
        <v>107</v>
      </c>
    </row>
    <row r="99" spans="1:12" x14ac:dyDescent="0.35">
      <c r="A99">
        <v>3400</v>
      </c>
      <c r="B99" s="46" t="s">
        <v>107</v>
      </c>
      <c r="C99" s="50" t="s">
        <v>107</v>
      </c>
      <c r="D99" s="50" t="s">
        <v>107</v>
      </c>
      <c r="E99" s="50" t="s">
        <v>107</v>
      </c>
      <c r="F99" s="50" t="s">
        <v>107</v>
      </c>
      <c r="G99" s="50" t="s">
        <v>107</v>
      </c>
      <c r="H99" s="50" t="s">
        <v>107</v>
      </c>
      <c r="I99" s="50" t="s">
        <v>107</v>
      </c>
      <c r="J99" s="50" t="s">
        <v>107</v>
      </c>
      <c r="K99" s="50" t="s">
        <v>107</v>
      </c>
      <c r="L99" s="53" t="s">
        <v>107</v>
      </c>
    </row>
    <row r="100" spans="1:12" x14ac:dyDescent="0.35">
      <c r="A100">
        <v>3600</v>
      </c>
      <c r="B100" s="46" t="s">
        <v>107</v>
      </c>
      <c r="C100" s="50" t="s">
        <v>107</v>
      </c>
      <c r="D100" s="50" t="s">
        <v>107</v>
      </c>
      <c r="E100" s="50" t="s">
        <v>107</v>
      </c>
      <c r="F100" s="50" t="s">
        <v>107</v>
      </c>
      <c r="G100" s="50" t="s">
        <v>107</v>
      </c>
      <c r="H100" s="50" t="s">
        <v>107</v>
      </c>
      <c r="I100" s="50" t="s">
        <v>107</v>
      </c>
      <c r="J100" s="50" t="s">
        <v>107</v>
      </c>
      <c r="K100" s="50" t="s">
        <v>107</v>
      </c>
      <c r="L100" s="53" t="s">
        <v>107</v>
      </c>
    </row>
    <row r="101" spans="1:12" x14ac:dyDescent="0.35">
      <c r="A101">
        <v>3800</v>
      </c>
      <c r="B101" s="46" t="s">
        <v>107</v>
      </c>
      <c r="C101" s="50" t="s">
        <v>107</v>
      </c>
      <c r="D101" s="50" t="s">
        <v>107</v>
      </c>
      <c r="E101" s="50" t="s">
        <v>107</v>
      </c>
      <c r="F101" s="50" t="s">
        <v>107</v>
      </c>
      <c r="G101" s="50" t="s">
        <v>107</v>
      </c>
      <c r="H101" s="50" t="s">
        <v>107</v>
      </c>
      <c r="I101" s="50" t="s">
        <v>107</v>
      </c>
      <c r="J101" s="50" t="s">
        <v>107</v>
      </c>
      <c r="K101" s="50" t="s">
        <v>107</v>
      </c>
      <c r="L101" s="53" t="s">
        <v>107</v>
      </c>
    </row>
    <row r="102" spans="1:12" x14ac:dyDescent="0.35">
      <c r="A102">
        <v>4000</v>
      </c>
      <c r="B102" s="46" t="s">
        <v>107</v>
      </c>
      <c r="C102" s="50" t="s">
        <v>107</v>
      </c>
      <c r="D102" s="50" t="s">
        <v>107</v>
      </c>
      <c r="E102" s="50" t="s">
        <v>107</v>
      </c>
      <c r="F102" s="50" t="s">
        <v>107</v>
      </c>
      <c r="G102" s="50" t="s">
        <v>107</v>
      </c>
      <c r="H102" s="50" t="s">
        <v>107</v>
      </c>
      <c r="I102" s="50" t="s">
        <v>107</v>
      </c>
      <c r="J102" s="50" t="s">
        <v>107</v>
      </c>
      <c r="K102" s="50" t="s">
        <v>107</v>
      </c>
      <c r="L102" s="53" t="s">
        <v>107</v>
      </c>
    </row>
    <row r="103" spans="1:12" x14ac:dyDescent="0.35">
      <c r="A103">
        <v>4200</v>
      </c>
      <c r="B103" s="46" t="s">
        <v>107</v>
      </c>
      <c r="C103" s="50" t="s">
        <v>107</v>
      </c>
      <c r="D103" s="50" t="s">
        <v>107</v>
      </c>
      <c r="E103" s="50" t="s">
        <v>107</v>
      </c>
      <c r="F103" s="50" t="s">
        <v>107</v>
      </c>
      <c r="G103" s="50" t="s">
        <v>107</v>
      </c>
      <c r="H103" s="50" t="s">
        <v>107</v>
      </c>
      <c r="I103" s="50" t="s">
        <v>107</v>
      </c>
      <c r="J103" s="50" t="s">
        <v>107</v>
      </c>
      <c r="K103" s="50" t="s">
        <v>107</v>
      </c>
      <c r="L103" s="53" t="s">
        <v>107</v>
      </c>
    </row>
    <row r="104" spans="1:12" x14ac:dyDescent="0.35">
      <c r="A104">
        <v>4400</v>
      </c>
      <c r="B104" s="46" t="s">
        <v>107</v>
      </c>
      <c r="C104" s="50" t="s">
        <v>107</v>
      </c>
      <c r="D104" s="50" t="s">
        <v>107</v>
      </c>
      <c r="E104" s="50" t="s">
        <v>107</v>
      </c>
      <c r="F104" s="50" t="s">
        <v>107</v>
      </c>
      <c r="G104" s="50" t="s">
        <v>107</v>
      </c>
      <c r="H104" s="50" t="s">
        <v>107</v>
      </c>
      <c r="I104" s="50" t="s">
        <v>107</v>
      </c>
      <c r="J104" s="50" t="s">
        <v>107</v>
      </c>
      <c r="K104" s="50" t="s">
        <v>107</v>
      </c>
      <c r="L104" s="53" t="s">
        <v>107</v>
      </c>
    </row>
    <row r="105" spans="1:12" x14ac:dyDescent="0.35">
      <c r="A105">
        <v>4600</v>
      </c>
      <c r="B105" s="46" t="s">
        <v>107</v>
      </c>
      <c r="C105" s="50" t="s">
        <v>107</v>
      </c>
      <c r="D105" s="50" t="s">
        <v>107</v>
      </c>
      <c r="E105" s="50" t="s">
        <v>107</v>
      </c>
      <c r="F105" s="50" t="s">
        <v>107</v>
      </c>
      <c r="G105" s="50" t="s">
        <v>107</v>
      </c>
      <c r="H105" s="50" t="s">
        <v>107</v>
      </c>
      <c r="I105" s="50" t="s">
        <v>107</v>
      </c>
      <c r="J105" s="50" t="s">
        <v>107</v>
      </c>
      <c r="K105" s="50" t="s">
        <v>107</v>
      </c>
      <c r="L105" s="53" t="s">
        <v>107</v>
      </c>
    </row>
    <row r="106" spans="1:12" x14ac:dyDescent="0.35">
      <c r="A106">
        <v>4800</v>
      </c>
      <c r="B106" s="46" t="s">
        <v>107</v>
      </c>
      <c r="C106" s="50" t="s">
        <v>107</v>
      </c>
      <c r="D106" s="50" t="s">
        <v>107</v>
      </c>
      <c r="E106" s="50" t="s">
        <v>107</v>
      </c>
      <c r="F106" s="50" t="s">
        <v>107</v>
      </c>
      <c r="G106" s="50" t="s">
        <v>107</v>
      </c>
      <c r="H106" s="50" t="s">
        <v>107</v>
      </c>
      <c r="I106" s="50" t="s">
        <v>107</v>
      </c>
      <c r="J106" s="50" t="s">
        <v>107</v>
      </c>
      <c r="K106" s="50" t="s">
        <v>107</v>
      </c>
      <c r="L106" s="53" t="s">
        <v>107</v>
      </c>
    </row>
    <row r="107" spans="1:12" x14ac:dyDescent="0.35">
      <c r="A107">
        <v>5000</v>
      </c>
      <c r="B107" s="24">
        <v>71035</v>
      </c>
      <c r="C107" s="41">
        <v>71035</v>
      </c>
      <c r="D107" s="41">
        <v>71035</v>
      </c>
      <c r="E107" s="41">
        <v>71035</v>
      </c>
      <c r="F107" s="41">
        <v>71035</v>
      </c>
      <c r="G107" s="41">
        <v>71035</v>
      </c>
      <c r="H107" s="41">
        <v>71035</v>
      </c>
      <c r="I107" s="41">
        <v>71035</v>
      </c>
      <c r="J107" s="41">
        <v>71035</v>
      </c>
      <c r="K107" s="50" t="s">
        <v>107</v>
      </c>
      <c r="L107" s="53" t="s">
        <v>107</v>
      </c>
    </row>
    <row r="108" spans="1:12" x14ac:dyDescent="0.35">
      <c r="A108">
        <v>5200</v>
      </c>
      <c r="B108" s="24">
        <v>68822</v>
      </c>
      <c r="C108" s="41">
        <v>68822</v>
      </c>
      <c r="D108" s="41">
        <v>68822</v>
      </c>
      <c r="E108" s="41">
        <v>68822</v>
      </c>
      <c r="F108" s="41">
        <v>68822</v>
      </c>
      <c r="G108" s="41">
        <v>68822</v>
      </c>
      <c r="H108" s="41">
        <v>68822</v>
      </c>
      <c r="I108" s="41">
        <v>68822</v>
      </c>
      <c r="J108" s="41">
        <v>68822</v>
      </c>
      <c r="K108" s="41">
        <v>72124</v>
      </c>
      <c r="L108" s="53" t="s">
        <v>107</v>
      </c>
    </row>
    <row r="109" spans="1:12" x14ac:dyDescent="0.35">
      <c r="A109">
        <v>5400</v>
      </c>
      <c r="B109" s="24">
        <v>70740</v>
      </c>
      <c r="C109" s="41">
        <v>70740</v>
      </c>
      <c r="D109" s="41">
        <v>70740</v>
      </c>
      <c r="E109" s="41">
        <v>70740</v>
      </c>
      <c r="F109" s="41">
        <v>70740</v>
      </c>
      <c r="G109" s="41">
        <v>70740</v>
      </c>
      <c r="H109" s="41">
        <v>70740</v>
      </c>
      <c r="I109" s="41">
        <v>70740</v>
      </c>
      <c r="J109" s="41">
        <v>70740</v>
      </c>
      <c r="K109" s="41">
        <v>71700</v>
      </c>
      <c r="L109" s="53" t="s">
        <v>107</v>
      </c>
    </row>
    <row r="110" spans="1:12" x14ac:dyDescent="0.35">
      <c r="A110">
        <v>5600</v>
      </c>
      <c r="B110" s="46" t="s">
        <v>107</v>
      </c>
      <c r="C110" s="50" t="s">
        <v>107</v>
      </c>
      <c r="D110" s="50" t="s">
        <v>107</v>
      </c>
      <c r="E110" s="50" t="s">
        <v>107</v>
      </c>
      <c r="F110" s="50" t="s">
        <v>107</v>
      </c>
      <c r="G110" s="50" t="s">
        <v>107</v>
      </c>
      <c r="H110" s="50" t="s">
        <v>107</v>
      </c>
      <c r="I110" s="50" t="s">
        <v>107</v>
      </c>
      <c r="J110" s="50" t="s">
        <v>107</v>
      </c>
      <c r="K110" s="50" t="s">
        <v>107</v>
      </c>
      <c r="L110" s="53" t="s">
        <v>107</v>
      </c>
    </row>
    <row r="111" spans="1:12" x14ac:dyDescent="0.35">
      <c r="A111">
        <v>5800</v>
      </c>
      <c r="B111" s="46" t="s">
        <v>107</v>
      </c>
      <c r="C111" s="50" t="s">
        <v>107</v>
      </c>
      <c r="D111" s="50" t="s">
        <v>107</v>
      </c>
      <c r="E111" s="50" t="s">
        <v>107</v>
      </c>
      <c r="F111" s="50" t="s">
        <v>107</v>
      </c>
      <c r="G111" s="50" t="s">
        <v>107</v>
      </c>
      <c r="H111" s="50" t="s">
        <v>107</v>
      </c>
      <c r="I111" s="50" t="s">
        <v>107</v>
      </c>
      <c r="J111" s="50" t="s">
        <v>107</v>
      </c>
      <c r="K111" s="50" t="s">
        <v>107</v>
      </c>
      <c r="L111" s="53" t="s">
        <v>107</v>
      </c>
    </row>
    <row r="112" spans="1:12" x14ac:dyDescent="0.35">
      <c r="A112">
        <v>6000</v>
      </c>
      <c r="B112" s="46" t="s">
        <v>107</v>
      </c>
      <c r="C112" s="50" t="s">
        <v>107</v>
      </c>
      <c r="D112" s="50" t="s">
        <v>107</v>
      </c>
      <c r="E112" s="50" t="s">
        <v>107</v>
      </c>
      <c r="F112" s="50" t="s">
        <v>107</v>
      </c>
      <c r="G112" s="50" t="s">
        <v>107</v>
      </c>
      <c r="H112" s="50" t="s">
        <v>107</v>
      </c>
      <c r="I112" s="50" t="s">
        <v>107</v>
      </c>
      <c r="J112" s="50" t="s">
        <v>107</v>
      </c>
      <c r="K112" s="50" t="s">
        <v>107</v>
      </c>
      <c r="L112" s="53" t="s">
        <v>107</v>
      </c>
    </row>
    <row r="113" spans="1:12" x14ac:dyDescent="0.35">
      <c r="A113">
        <v>6200</v>
      </c>
      <c r="B113" s="46" t="s">
        <v>107</v>
      </c>
      <c r="C113" s="50" t="s">
        <v>107</v>
      </c>
      <c r="D113" s="50" t="s">
        <v>107</v>
      </c>
      <c r="E113" s="50" t="s">
        <v>107</v>
      </c>
      <c r="F113" s="50" t="s">
        <v>107</v>
      </c>
      <c r="G113" s="50" t="s">
        <v>107</v>
      </c>
      <c r="H113" s="50" t="s">
        <v>107</v>
      </c>
      <c r="I113" s="50" t="s">
        <v>107</v>
      </c>
      <c r="J113" s="50" t="s">
        <v>107</v>
      </c>
      <c r="K113" s="50" t="s">
        <v>107</v>
      </c>
      <c r="L113" s="53" t="s">
        <v>107</v>
      </c>
    </row>
    <row r="114" spans="1:12" x14ac:dyDescent="0.35">
      <c r="A114">
        <v>6400</v>
      </c>
      <c r="B114" s="46" t="s">
        <v>107</v>
      </c>
      <c r="C114" s="50" t="s">
        <v>107</v>
      </c>
      <c r="D114" s="50" t="s">
        <v>107</v>
      </c>
      <c r="E114" s="50" t="s">
        <v>107</v>
      </c>
      <c r="F114" s="50" t="s">
        <v>107</v>
      </c>
      <c r="G114" s="50" t="s">
        <v>107</v>
      </c>
      <c r="H114" s="50" t="s">
        <v>107</v>
      </c>
      <c r="I114" s="50" t="s">
        <v>107</v>
      </c>
      <c r="J114" s="50" t="s">
        <v>107</v>
      </c>
      <c r="K114" s="50" t="s">
        <v>107</v>
      </c>
      <c r="L114" s="53" t="s">
        <v>107</v>
      </c>
    </row>
    <row r="115" spans="1:12" x14ac:dyDescent="0.35">
      <c r="A115">
        <v>6600</v>
      </c>
      <c r="B115" s="46" t="s">
        <v>107</v>
      </c>
      <c r="C115" s="50" t="s">
        <v>107</v>
      </c>
      <c r="D115" s="50" t="s">
        <v>107</v>
      </c>
      <c r="E115" s="50" t="s">
        <v>107</v>
      </c>
      <c r="F115" s="50" t="s">
        <v>107</v>
      </c>
      <c r="G115" s="50" t="s">
        <v>107</v>
      </c>
      <c r="H115" s="50" t="s">
        <v>107</v>
      </c>
      <c r="I115" s="50" t="s">
        <v>107</v>
      </c>
      <c r="J115" s="50" t="s">
        <v>107</v>
      </c>
      <c r="K115" s="50" t="s">
        <v>107</v>
      </c>
      <c r="L115" s="53" t="s">
        <v>107</v>
      </c>
    </row>
    <row r="116" spans="1:12" x14ac:dyDescent="0.35">
      <c r="A116">
        <v>6800</v>
      </c>
      <c r="B116" s="46" t="s">
        <v>107</v>
      </c>
      <c r="C116" s="50" t="s">
        <v>107</v>
      </c>
      <c r="D116" s="50" t="s">
        <v>107</v>
      </c>
      <c r="E116" s="50" t="s">
        <v>107</v>
      </c>
      <c r="F116" s="50" t="s">
        <v>107</v>
      </c>
      <c r="G116" s="50" t="s">
        <v>107</v>
      </c>
      <c r="H116" s="50" t="s">
        <v>107</v>
      </c>
      <c r="I116" s="50" t="s">
        <v>107</v>
      </c>
      <c r="J116" s="50" t="s">
        <v>107</v>
      </c>
      <c r="K116" s="50" t="s">
        <v>107</v>
      </c>
      <c r="L116" s="53" t="s">
        <v>107</v>
      </c>
    </row>
    <row r="117" spans="1:12" x14ac:dyDescent="0.35">
      <c r="A117">
        <v>7000</v>
      </c>
      <c r="B117" s="48" t="s">
        <v>107</v>
      </c>
      <c r="C117" s="51" t="s">
        <v>107</v>
      </c>
      <c r="D117" s="51" t="s">
        <v>107</v>
      </c>
      <c r="E117" s="51" t="s">
        <v>107</v>
      </c>
      <c r="F117" s="51" t="s">
        <v>107</v>
      </c>
      <c r="G117" s="51" t="s">
        <v>107</v>
      </c>
      <c r="H117" s="51" t="s">
        <v>107</v>
      </c>
      <c r="I117" s="51" t="s">
        <v>107</v>
      </c>
      <c r="J117" s="51" t="s">
        <v>107</v>
      </c>
      <c r="K117" s="51" t="s">
        <v>107</v>
      </c>
      <c r="L117" s="54" t="s">
        <v>107</v>
      </c>
    </row>
  </sheetData>
  <dataValidations count="3">
    <dataValidation type="list" allowBlank="1" showInputMessage="1" showErrorMessage="1" sqref="N4 R4" xr:uid="{684671E1-ECF8-4595-8D8D-E570D4BC80F0}">
      <formula1>OutputAddresses</formula1>
    </dataValidation>
    <dataValidation type="list" allowBlank="1" showInputMessage="1" showErrorMessage="1" sqref="O4" xr:uid="{6A0F17C9-2FD1-4874-92CF-F689B0C06C24}">
      <formula1>InputValues1</formula1>
    </dataValidation>
    <dataValidation type="list" allowBlank="1" showInputMessage="1" showErrorMessage="1" sqref="S4" xr:uid="{9F40530B-133D-43CD-9705-6475B0AC0E2E}">
      <formula1>InputValues2</formula1>
    </dataValidation>
  </dataValidations>
  <pageMargins left="0.7" right="0.7" top="0.75" bottom="0.75" header="0.3" footer="0.3"/>
  <drawing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C72590-1E7E-492F-AF1D-B83AC77996B8}">
  <dimension ref="A1:AZ117"/>
  <sheetViews>
    <sheetView workbookViewId="0">
      <selection activeCell="H51" sqref="H51"/>
    </sheetView>
  </sheetViews>
  <sheetFormatPr defaultRowHeight="14.5" x14ac:dyDescent="0.35"/>
  <cols>
    <col min="1" max="1" width="5.90625" bestFit="1" customWidth="1"/>
    <col min="2" max="17" width="11.1796875" bestFit="1" customWidth="1"/>
  </cols>
  <sheetData>
    <row r="1" spans="1:52" x14ac:dyDescent="0.35">
      <c r="A1" s="6" t="s">
        <v>100</v>
      </c>
      <c r="S1" s="21" t="str">
        <f>CONCATENATE("Sensitivity of ",$S$4," to ","S2 Units")</f>
        <v>Sensitivity of $C$4 to S2 Units</v>
      </c>
      <c r="W1" s="21" t="str">
        <f>CONCATENATE("Sensitivity of ",$W$4," to ","Order Quantity")</f>
        <v>Sensitivity of $C$4 to Order Quantity</v>
      </c>
    </row>
    <row r="2" spans="1:52" x14ac:dyDescent="0.35">
      <c r="S2" t="s">
        <v>102</v>
      </c>
      <c r="W2" t="s">
        <v>111</v>
      </c>
      <c r="AZ2" t="s">
        <v>43</v>
      </c>
    </row>
    <row r="3" spans="1:52" x14ac:dyDescent="0.35">
      <c r="A3" t="s">
        <v>110</v>
      </c>
      <c r="S3" t="s">
        <v>103</v>
      </c>
      <c r="T3" t="s">
        <v>104</v>
      </c>
      <c r="W3" t="s">
        <v>103</v>
      </c>
      <c r="X3" t="s">
        <v>112</v>
      </c>
      <c r="AZ3" t="s">
        <v>47</v>
      </c>
    </row>
    <row r="4" spans="1:52" ht="28" x14ac:dyDescent="0.35">
      <c r="A4" s="43" t="s">
        <v>43</v>
      </c>
      <c r="B4" s="42">
        <v>1500</v>
      </c>
      <c r="C4" s="42">
        <v>1600</v>
      </c>
      <c r="D4" s="42">
        <v>1700</v>
      </c>
      <c r="E4" s="42">
        <v>1800</v>
      </c>
      <c r="F4" s="42">
        <v>1900</v>
      </c>
      <c r="G4" s="42">
        <v>2000</v>
      </c>
      <c r="H4" s="42">
        <v>2100</v>
      </c>
      <c r="I4" s="42">
        <v>2200</v>
      </c>
      <c r="J4" s="42">
        <v>2300</v>
      </c>
      <c r="K4" s="42">
        <v>2400</v>
      </c>
      <c r="L4" s="42">
        <v>2500</v>
      </c>
      <c r="M4" s="42">
        <v>2600</v>
      </c>
      <c r="N4" s="42">
        <v>2700</v>
      </c>
      <c r="O4" s="42">
        <v>2800</v>
      </c>
      <c r="P4" s="42">
        <v>2900</v>
      </c>
      <c r="Q4" s="42">
        <v>3000</v>
      </c>
      <c r="R4" s="21">
        <f>MATCH($S$4,OutputAddresses,0)</f>
        <v>1</v>
      </c>
      <c r="S4" s="20" t="s">
        <v>43</v>
      </c>
      <c r="T4" s="44">
        <v>3000</v>
      </c>
      <c r="U4" s="21">
        <f>MATCH($T$4,InputValues1,0)</f>
        <v>1</v>
      </c>
      <c r="V4" s="21">
        <f>MATCH($W$4,OutputAddresses,0)</f>
        <v>1</v>
      </c>
      <c r="W4" s="20" t="s">
        <v>43</v>
      </c>
      <c r="X4" s="44">
        <v>1500</v>
      </c>
      <c r="Y4" s="21">
        <f>MATCH($X$4,InputValues2,0)</f>
        <v>1</v>
      </c>
      <c r="AZ4" t="s">
        <v>49</v>
      </c>
    </row>
    <row r="5" spans="1:52" x14ac:dyDescent="0.35">
      <c r="A5">
        <v>3000</v>
      </c>
      <c r="B5" s="45" t="s">
        <v>107</v>
      </c>
      <c r="C5" s="49" t="s">
        <v>107</v>
      </c>
      <c r="D5" s="49" t="s">
        <v>107</v>
      </c>
      <c r="E5" s="49" t="s">
        <v>107</v>
      </c>
      <c r="F5" s="49" t="s">
        <v>107</v>
      </c>
      <c r="G5" s="49" t="s">
        <v>107</v>
      </c>
      <c r="H5" s="49" t="s">
        <v>107</v>
      </c>
      <c r="I5" s="49" t="s">
        <v>107</v>
      </c>
      <c r="J5" s="49" t="s">
        <v>107</v>
      </c>
      <c r="K5" s="49" t="s">
        <v>107</v>
      </c>
      <c r="L5" s="49" t="s">
        <v>107</v>
      </c>
      <c r="M5" s="49" t="s">
        <v>107</v>
      </c>
      <c r="N5" s="49" t="s">
        <v>107</v>
      </c>
      <c r="O5" s="49" t="s">
        <v>107</v>
      </c>
      <c r="P5" s="49" t="s">
        <v>107</v>
      </c>
      <c r="Q5" s="52" t="s">
        <v>107</v>
      </c>
      <c r="R5" s="21" t="str">
        <f>"OutputValues_"&amp;$R$4</f>
        <v>OutputValues_1</v>
      </c>
      <c r="S5" t="str">
        <f ca="1">INDEX(INDIRECT($R$5),$U$4,1)</f>
        <v>Not feasible</v>
      </c>
      <c r="V5" s="21" t="str">
        <f>"OutputValues_"&amp;$V$4</f>
        <v>OutputValues_1</v>
      </c>
      <c r="W5" t="str">
        <f ca="1">INDEX(INDIRECT($V$5),1,$Y$4)</f>
        <v>Not feasible</v>
      </c>
      <c r="AZ5" t="s">
        <v>82</v>
      </c>
    </row>
    <row r="6" spans="1:52" x14ac:dyDescent="0.35">
      <c r="A6">
        <v>3200</v>
      </c>
      <c r="B6" s="46" t="s">
        <v>107</v>
      </c>
      <c r="C6" s="50" t="s">
        <v>107</v>
      </c>
      <c r="D6" s="50" t="s">
        <v>107</v>
      </c>
      <c r="E6" s="50" t="s">
        <v>107</v>
      </c>
      <c r="F6" s="50" t="s">
        <v>107</v>
      </c>
      <c r="G6" s="50" t="s">
        <v>107</v>
      </c>
      <c r="H6" s="50" t="s">
        <v>107</v>
      </c>
      <c r="I6" s="50" t="s">
        <v>107</v>
      </c>
      <c r="J6" s="50" t="s">
        <v>107</v>
      </c>
      <c r="K6" s="50" t="s">
        <v>107</v>
      </c>
      <c r="L6" s="50" t="s">
        <v>107</v>
      </c>
      <c r="M6" s="50" t="s">
        <v>107</v>
      </c>
      <c r="N6" s="50" t="s">
        <v>107</v>
      </c>
      <c r="O6" s="50" t="s">
        <v>107</v>
      </c>
      <c r="P6" s="50" t="s">
        <v>107</v>
      </c>
      <c r="Q6" s="53" t="s">
        <v>107</v>
      </c>
      <c r="S6" t="str">
        <f ca="1">INDEX(INDIRECT($R$5),$U$4,2)</f>
        <v>Not feasible</v>
      </c>
      <c r="W6" t="str">
        <f ca="1">INDEX(INDIRECT($V$5),2,$Y$4)</f>
        <v>Not feasible</v>
      </c>
      <c r="AZ6" t="s">
        <v>55</v>
      </c>
    </row>
    <row r="7" spans="1:52" x14ac:dyDescent="0.35">
      <c r="A7">
        <v>3400</v>
      </c>
      <c r="B7" s="46" t="s">
        <v>107</v>
      </c>
      <c r="C7" s="50" t="s">
        <v>107</v>
      </c>
      <c r="D7" s="50" t="s">
        <v>107</v>
      </c>
      <c r="E7" s="50" t="s">
        <v>107</v>
      </c>
      <c r="F7" s="50" t="s">
        <v>107</v>
      </c>
      <c r="G7" s="50" t="s">
        <v>107</v>
      </c>
      <c r="H7" s="50" t="s">
        <v>107</v>
      </c>
      <c r="I7" s="50" t="s">
        <v>107</v>
      </c>
      <c r="J7" s="50" t="s">
        <v>107</v>
      </c>
      <c r="K7" s="50" t="s">
        <v>107</v>
      </c>
      <c r="L7" s="50" t="s">
        <v>107</v>
      </c>
      <c r="M7" s="50" t="s">
        <v>107</v>
      </c>
      <c r="N7" s="50" t="s">
        <v>107</v>
      </c>
      <c r="O7" s="50" t="s">
        <v>107</v>
      </c>
      <c r="P7" s="50" t="s">
        <v>107</v>
      </c>
      <c r="Q7" s="53" t="s">
        <v>107</v>
      </c>
      <c r="S7" t="str">
        <f ca="1">INDEX(INDIRECT($R$5),$U$4,3)</f>
        <v>Not feasible</v>
      </c>
      <c r="W7" t="str">
        <f ca="1">INDEX(INDIRECT($V$5),3,$Y$4)</f>
        <v>Not feasible</v>
      </c>
    </row>
    <row r="8" spans="1:52" x14ac:dyDescent="0.35">
      <c r="A8">
        <v>3600</v>
      </c>
      <c r="B8" s="46" t="s">
        <v>107</v>
      </c>
      <c r="C8" s="50" t="s">
        <v>107</v>
      </c>
      <c r="D8" s="50" t="s">
        <v>107</v>
      </c>
      <c r="E8" s="50" t="s">
        <v>107</v>
      </c>
      <c r="F8" s="50" t="s">
        <v>107</v>
      </c>
      <c r="G8" s="50" t="s">
        <v>107</v>
      </c>
      <c r="H8" s="50" t="s">
        <v>107</v>
      </c>
      <c r="I8" s="50" t="s">
        <v>107</v>
      </c>
      <c r="J8" s="50" t="s">
        <v>107</v>
      </c>
      <c r="K8" s="50" t="s">
        <v>107</v>
      </c>
      <c r="L8" s="50" t="s">
        <v>107</v>
      </c>
      <c r="M8" s="50" t="s">
        <v>107</v>
      </c>
      <c r="N8" s="50" t="s">
        <v>107</v>
      </c>
      <c r="O8" s="50" t="s">
        <v>107</v>
      </c>
      <c r="P8" s="50" t="s">
        <v>107</v>
      </c>
      <c r="Q8" s="53" t="s">
        <v>107</v>
      </c>
      <c r="S8" t="str">
        <f ca="1">INDEX(INDIRECT($R$5),$U$4,4)</f>
        <v>Not feasible</v>
      </c>
      <c r="W8" t="str">
        <f ca="1">INDEX(INDIRECT($V$5),4,$Y$4)</f>
        <v>Not feasible</v>
      </c>
    </row>
    <row r="9" spans="1:52" x14ac:dyDescent="0.35">
      <c r="A9">
        <v>3800</v>
      </c>
      <c r="B9" s="46" t="s">
        <v>107</v>
      </c>
      <c r="C9" s="50" t="s">
        <v>107</v>
      </c>
      <c r="D9" s="50" t="s">
        <v>107</v>
      </c>
      <c r="E9" s="50" t="s">
        <v>107</v>
      </c>
      <c r="F9" s="50" t="s">
        <v>107</v>
      </c>
      <c r="G9" s="50" t="s">
        <v>107</v>
      </c>
      <c r="H9" s="50" t="s">
        <v>107</v>
      </c>
      <c r="I9" s="50" t="s">
        <v>107</v>
      </c>
      <c r="J9" s="50" t="s">
        <v>107</v>
      </c>
      <c r="K9" s="50" t="s">
        <v>107</v>
      </c>
      <c r="L9" s="50" t="s">
        <v>107</v>
      </c>
      <c r="M9" s="50" t="s">
        <v>107</v>
      </c>
      <c r="N9" s="50" t="s">
        <v>107</v>
      </c>
      <c r="O9" s="50" t="s">
        <v>107</v>
      </c>
      <c r="P9" s="50" t="s">
        <v>107</v>
      </c>
      <c r="Q9" s="53" t="s">
        <v>107</v>
      </c>
      <c r="S9" t="str">
        <f ca="1">INDEX(INDIRECT($R$5),$U$4,5)</f>
        <v>Not feasible</v>
      </c>
      <c r="W9" t="str">
        <f ca="1">INDEX(INDIRECT($V$5),5,$Y$4)</f>
        <v>Not feasible</v>
      </c>
    </row>
    <row r="10" spans="1:52" x14ac:dyDescent="0.35">
      <c r="A10">
        <v>4000</v>
      </c>
      <c r="B10" s="46" t="s">
        <v>107</v>
      </c>
      <c r="C10" s="50" t="s">
        <v>107</v>
      </c>
      <c r="D10" s="50" t="s">
        <v>107</v>
      </c>
      <c r="E10" s="50" t="s">
        <v>107</v>
      </c>
      <c r="F10" s="50" t="s">
        <v>107</v>
      </c>
      <c r="G10" s="50" t="s">
        <v>107</v>
      </c>
      <c r="H10" s="50" t="s">
        <v>107</v>
      </c>
      <c r="I10" s="50" t="s">
        <v>107</v>
      </c>
      <c r="J10" s="50" t="s">
        <v>107</v>
      </c>
      <c r="K10" s="50" t="s">
        <v>107</v>
      </c>
      <c r="L10" s="50" t="s">
        <v>107</v>
      </c>
      <c r="M10" s="50" t="s">
        <v>107</v>
      </c>
      <c r="N10" s="50" t="s">
        <v>107</v>
      </c>
      <c r="O10" s="50" t="s">
        <v>107</v>
      </c>
      <c r="P10" s="50" t="s">
        <v>107</v>
      </c>
      <c r="Q10" s="53" t="s">
        <v>107</v>
      </c>
      <c r="S10" t="str">
        <f ca="1">INDEX(INDIRECT($R$5),$U$4,6)</f>
        <v>Not feasible</v>
      </c>
      <c r="W10" t="str">
        <f ca="1">INDEX(INDIRECT($V$5),6,$Y$4)</f>
        <v>Not feasible</v>
      </c>
    </row>
    <row r="11" spans="1:52" x14ac:dyDescent="0.35">
      <c r="A11">
        <v>4200</v>
      </c>
      <c r="B11" s="46" t="s">
        <v>107</v>
      </c>
      <c r="C11" s="50" t="s">
        <v>107</v>
      </c>
      <c r="D11" s="50" t="s">
        <v>107</v>
      </c>
      <c r="E11" s="50" t="s">
        <v>107</v>
      </c>
      <c r="F11" s="50" t="s">
        <v>107</v>
      </c>
      <c r="G11" s="50" t="s">
        <v>107</v>
      </c>
      <c r="H11" s="50" t="s">
        <v>107</v>
      </c>
      <c r="I11" s="50" t="s">
        <v>107</v>
      </c>
      <c r="J11" s="50" t="s">
        <v>107</v>
      </c>
      <c r="K11" s="50" t="s">
        <v>107</v>
      </c>
      <c r="L11" s="50" t="s">
        <v>107</v>
      </c>
      <c r="M11" s="50" t="s">
        <v>107</v>
      </c>
      <c r="N11" s="50" t="s">
        <v>107</v>
      </c>
      <c r="O11" s="50" t="s">
        <v>107</v>
      </c>
      <c r="P11" s="50" t="s">
        <v>107</v>
      </c>
      <c r="Q11" s="53" t="s">
        <v>107</v>
      </c>
      <c r="S11" t="str">
        <f ca="1">INDEX(INDIRECT($R$5),$U$4,7)</f>
        <v>Not feasible</v>
      </c>
      <c r="W11" t="str">
        <f ca="1">INDEX(INDIRECT($V$5),7,$Y$4)</f>
        <v>Not feasible</v>
      </c>
    </row>
    <row r="12" spans="1:52" x14ac:dyDescent="0.35">
      <c r="A12">
        <v>4400</v>
      </c>
      <c r="B12" s="46" t="s">
        <v>107</v>
      </c>
      <c r="C12" s="50" t="s">
        <v>107</v>
      </c>
      <c r="D12" s="50" t="s">
        <v>107</v>
      </c>
      <c r="E12" s="50" t="s">
        <v>107</v>
      </c>
      <c r="F12" s="50" t="s">
        <v>107</v>
      </c>
      <c r="G12" s="50" t="s">
        <v>107</v>
      </c>
      <c r="H12" s="50" t="s">
        <v>107</v>
      </c>
      <c r="I12" s="50" t="s">
        <v>107</v>
      </c>
      <c r="J12" s="50" t="s">
        <v>107</v>
      </c>
      <c r="K12" s="50" t="s">
        <v>107</v>
      </c>
      <c r="L12" s="50" t="s">
        <v>107</v>
      </c>
      <c r="M12" s="50" t="s">
        <v>107</v>
      </c>
      <c r="N12" s="50" t="s">
        <v>107</v>
      </c>
      <c r="O12" s="50" t="s">
        <v>107</v>
      </c>
      <c r="P12" s="50" t="s">
        <v>107</v>
      </c>
      <c r="Q12" s="53" t="s">
        <v>107</v>
      </c>
      <c r="S12" t="str">
        <f ca="1">INDEX(INDIRECT($R$5),$U$4,8)</f>
        <v>Not feasible</v>
      </c>
      <c r="W12" t="str">
        <f ca="1">INDEX(INDIRECT($V$5),8,$Y$4)</f>
        <v>Not feasible</v>
      </c>
    </row>
    <row r="13" spans="1:52" x14ac:dyDescent="0.35">
      <c r="A13">
        <v>4600</v>
      </c>
      <c r="B13" s="46" t="s">
        <v>107</v>
      </c>
      <c r="C13" s="50" t="s">
        <v>107</v>
      </c>
      <c r="D13" s="50" t="s">
        <v>107</v>
      </c>
      <c r="E13" s="50" t="s">
        <v>107</v>
      </c>
      <c r="F13" s="50" t="s">
        <v>107</v>
      </c>
      <c r="G13" s="50" t="s">
        <v>107</v>
      </c>
      <c r="H13" s="50" t="s">
        <v>107</v>
      </c>
      <c r="I13" s="50" t="s">
        <v>107</v>
      </c>
      <c r="J13" s="50" t="s">
        <v>107</v>
      </c>
      <c r="K13" s="50" t="s">
        <v>107</v>
      </c>
      <c r="L13" s="50" t="s">
        <v>107</v>
      </c>
      <c r="M13" s="50" t="s">
        <v>107</v>
      </c>
      <c r="N13" s="50" t="s">
        <v>107</v>
      </c>
      <c r="O13" s="50" t="s">
        <v>107</v>
      </c>
      <c r="P13" s="50" t="s">
        <v>107</v>
      </c>
      <c r="Q13" s="53" t="s">
        <v>107</v>
      </c>
      <c r="S13" t="str">
        <f ca="1">INDEX(INDIRECT($R$5),$U$4,9)</f>
        <v>Not feasible</v>
      </c>
      <c r="W13" t="str">
        <f ca="1">INDEX(INDIRECT($V$5),9,$Y$4)</f>
        <v>Not feasible</v>
      </c>
    </row>
    <row r="14" spans="1:52" x14ac:dyDescent="0.35">
      <c r="A14">
        <v>4800</v>
      </c>
      <c r="B14" s="46" t="s">
        <v>107</v>
      </c>
      <c r="C14" s="50" t="s">
        <v>107</v>
      </c>
      <c r="D14" s="50" t="s">
        <v>107</v>
      </c>
      <c r="E14" s="50" t="s">
        <v>107</v>
      </c>
      <c r="F14" s="50" t="s">
        <v>107</v>
      </c>
      <c r="G14" s="50" t="s">
        <v>107</v>
      </c>
      <c r="H14" s="50" t="s">
        <v>107</v>
      </c>
      <c r="I14" s="50" t="s">
        <v>107</v>
      </c>
      <c r="J14" s="50" t="s">
        <v>107</v>
      </c>
      <c r="K14" s="50" t="s">
        <v>107</v>
      </c>
      <c r="L14" s="50" t="s">
        <v>107</v>
      </c>
      <c r="M14" s="50" t="s">
        <v>107</v>
      </c>
      <c r="N14" s="50" t="s">
        <v>107</v>
      </c>
      <c r="O14" s="50" t="s">
        <v>107</v>
      </c>
      <c r="P14" s="50" t="s">
        <v>107</v>
      </c>
      <c r="Q14" s="53" t="s">
        <v>107</v>
      </c>
      <c r="S14" t="str">
        <f ca="1">INDEX(INDIRECT($R$5),$U$4,10)</f>
        <v>Not feasible</v>
      </c>
      <c r="W14" t="str">
        <f ca="1">INDEX(INDIRECT($V$5),10,$Y$4)</f>
        <v>Not feasible</v>
      </c>
    </row>
    <row r="15" spans="1:52" x14ac:dyDescent="0.35">
      <c r="A15">
        <v>5000</v>
      </c>
      <c r="B15" s="46" t="s">
        <v>107</v>
      </c>
      <c r="C15" s="50" t="s">
        <v>107</v>
      </c>
      <c r="D15" s="50" t="s">
        <v>107</v>
      </c>
      <c r="E15" s="50" t="s">
        <v>107</v>
      </c>
      <c r="F15" s="50" t="s">
        <v>107</v>
      </c>
      <c r="G15" s="50" t="s">
        <v>107</v>
      </c>
      <c r="H15" s="50" t="s">
        <v>107</v>
      </c>
      <c r="I15" s="50" t="s">
        <v>107</v>
      </c>
      <c r="J15" s="50" t="s">
        <v>107</v>
      </c>
      <c r="K15" s="50" t="s">
        <v>107</v>
      </c>
      <c r="L15" s="50" t="s">
        <v>107</v>
      </c>
      <c r="M15" s="50" t="s">
        <v>107</v>
      </c>
      <c r="N15" s="50" t="s">
        <v>107</v>
      </c>
      <c r="O15" s="50" t="s">
        <v>107</v>
      </c>
      <c r="P15" s="50" t="s">
        <v>107</v>
      </c>
      <c r="Q15" s="53" t="s">
        <v>107</v>
      </c>
      <c r="S15" t="str">
        <f ca="1">INDEX(INDIRECT($R$5),$U$4,11)</f>
        <v>Not feasible</v>
      </c>
      <c r="W15" t="str">
        <f ca="1">INDEX(INDIRECT($V$5),11,$Y$4)</f>
        <v>Not feasible</v>
      </c>
    </row>
    <row r="16" spans="1:52" x14ac:dyDescent="0.35">
      <c r="A16">
        <v>5200</v>
      </c>
      <c r="B16" s="55">
        <v>2312</v>
      </c>
      <c r="C16" s="42">
        <v>2312</v>
      </c>
      <c r="D16" s="42">
        <v>2312</v>
      </c>
      <c r="E16" s="42">
        <v>2312</v>
      </c>
      <c r="F16" s="42">
        <v>2312</v>
      </c>
      <c r="G16" s="42">
        <v>2312</v>
      </c>
      <c r="H16" s="42">
        <v>2312</v>
      </c>
      <c r="I16" s="42">
        <v>2312</v>
      </c>
      <c r="J16" s="42">
        <v>2312</v>
      </c>
      <c r="K16" s="42">
        <v>2312</v>
      </c>
      <c r="L16" s="42">
        <v>2312</v>
      </c>
      <c r="M16" s="42">
        <v>2312</v>
      </c>
      <c r="N16" s="42">
        <v>2312</v>
      </c>
      <c r="O16" s="42">
        <v>2312</v>
      </c>
      <c r="P16" s="42">
        <v>2312</v>
      </c>
      <c r="Q16" s="38">
        <v>2312</v>
      </c>
      <c r="S16" t="str">
        <f ca="1">INDEX(INDIRECT($R$5),$U$4,12)</f>
        <v>Not feasible</v>
      </c>
      <c r="W16">
        <f ca="1">INDEX(INDIRECT($V$5),12,$Y$4)</f>
        <v>2312</v>
      </c>
    </row>
    <row r="17" spans="1:23" x14ac:dyDescent="0.35">
      <c r="A17">
        <v>5400</v>
      </c>
      <c r="B17" s="55">
        <v>0</v>
      </c>
      <c r="C17" s="42">
        <v>0</v>
      </c>
      <c r="D17" s="42">
        <v>0</v>
      </c>
      <c r="E17" s="42">
        <v>0</v>
      </c>
      <c r="F17" s="42">
        <v>0</v>
      </c>
      <c r="G17" s="42">
        <v>0</v>
      </c>
      <c r="H17" s="42">
        <v>0</v>
      </c>
      <c r="I17" s="42">
        <v>0</v>
      </c>
      <c r="J17" s="42">
        <v>0</v>
      </c>
      <c r="K17" s="42">
        <v>0</v>
      </c>
      <c r="L17" s="42">
        <v>0</v>
      </c>
      <c r="M17" s="42">
        <v>0</v>
      </c>
      <c r="N17" s="42">
        <v>0</v>
      </c>
      <c r="O17" s="42">
        <v>0</v>
      </c>
      <c r="P17" s="42">
        <v>0</v>
      </c>
      <c r="Q17" s="38">
        <v>0</v>
      </c>
      <c r="S17" t="str">
        <f ca="1">INDEX(INDIRECT($R$5),$U$4,13)</f>
        <v>Not feasible</v>
      </c>
      <c r="W17">
        <f ca="1">INDEX(INDIRECT($V$5),13,$Y$4)</f>
        <v>0</v>
      </c>
    </row>
    <row r="18" spans="1:23" x14ac:dyDescent="0.35">
      <c r="A18">
        <v>5600</v>
      </c>
      <c r="B18" s="46" t="s">
        <v>107</v>
      </c>
      <c r="C18" s="50" t="s">
        <v>107</v>
      </c>
      <c r="D18" s="50" t="s">
        <v>107</v>
      </c>
      <c r="E18" s="50" t="s">
        <v>107</v>
      </c>
      <c r="F18" s="50" t="s">
        <v>107</v>
      </c>
      <c r="G18" s="50" t="s">
        <v>107</v>
      </c>
      <c r="H18" s="50" t="s">
        <v>107</v>
      </c>
      <c r="I18" s="50" t="s">
        <v>107</v>
      </c>
      <c r="J18" s="50" t="s">
        <v>107</v>
      </c>
      <c r="K18" s="50" t="s">
        <v>107</v>
      </c>
      <c r="L18" s="50" t="s">
        <v>107</v>
      </c>
      <c r="M18" s="50" t="s">
        <v>107</v>
      </c>
      <c r="N18" s="50" t="s">
        <v>107</v>
      </c>
      <c r="O18" s="50" t="s">
        <v>107</v>
      </c>
      <c r="P18" s="50" t="s">
        <v>107</v>
      </c>
      <c r="Q18" s="53" t="s">
        <v>107</v>
      </c>
      <c r="S18" t="str">
        <f ca="1">INDEX(INDIRECT($R$5),$U$4,14)</f>
        <v>Not feasible</v>
      </c>
      <c r="W18" t="str">
        <f ca="1">INDEX(INDIRECT($V$5),14,$Y$4)</f>
        <v>Not feasible</v>
      </c>
    </row>
    <row r="19" spans="1:23" x14ac:dyDescent="0.35">
      <c r="A19">
        <v>5800</v>
      </c>
      <c r="B19" s="46" t="s">
        <v>107</v>
      </c>
      <c r="C19" s="50" t="s">
        <v>107</v>
      </c>
      <c r="D19" s="50" t="s">
        <v>107</v>
      </c>
      <c r="E19" s="50" t="s">
        <v>107</v>
      </c>
      <c r="F19" s="50" t="s">
        <v>107</v>
      </c>
      <c r="G19" s="50" t="s">
        <v>107</v>
      </c>
      <c r="H19" s="50" t="s">
        <v>107</v>
      </c>
      <c r="I19" s="50" t="s">
        <v>107</v>
      </c>
      <c r="J19" s="50" t="s">
        <v>107</v>
      </c>
      <c r="K19" s="50" t="s">
        <v>107</v>
      </c>
      <c r="L19" s="50" t="s">
        <v>107</v>
      </c>
      <c r="M19" s="50" t="s">
        <v>107</v>
      </c>
      <c r="N19" s="50" t="s">
        <v>107</v>
      </c>
      <c r="O19" s="50" t="s">
        <v>107</v>
      </c>
      <c r="P19" s="50" t="s">
        <v>107</v>
      </c>
      <c r="Q19" s="53" t="s">
        <v>107</v>
      </c>
      <c r="S19" t="str">
        <f ca="1">INDEX(INDIRECT($R$5),$U$4,15)</f>
        <v>Not feasible</v>
      </c>
      <c r="W19" t="str">
        <f ca="1">INDEX(INDIRECT($V$5),15,$Y$4)</f>
        <v>Not feasible</v>
      </c>
    </row>
    <row r="20" spans="1:23" x14ac:dyDescent="0.35">
      <c r="A20">
        <v>6000</v>
      </c>
      <c r="B20" s="46" t="s">
        <v>107</v>
      </c>
      <c r="C20" s="50" t="s">
        <v>107</v>
      </c>
      <c r="D20" s="50" t="s">
        <v>107</v>
      </c>
      <c r="E20" s="50" t="s">
        <v>107</v>
      </c>
      <c r="F20" s="50" t="s">
        <v>107</v>
      </c>
      <c r="G20" s="50" t="s">
        <v>107</v>
      </c>
      <c r="H20" s="50" t="s">
        <v>107</v>
      </c>
      <c r="I20" s="50" t="s">
        <v>107</v>
      </c>
      <c r="J20" s="50" t="s">
        <v>107</v>
      </c>
      <c r="K20" s="50" t="s">
        <v>107</v>
      </c>
      <c r="L20" s="50" t="s">
        <v>107</v>
      </c>
      <c r="M20" s="50" t="s">
        <v>107</v>
      </c>
      <c r="N20" s="50" t="s">
        <v>107</v>
      </c>
      <c r="O20" s="50" t="s">
        <v>107</v>
      </c>
      <c r="P20" s="50" t="s">
        <v>107</v>
      </c>
      <c r="Q20" s="53" t="s">
        <v>107</v>
      </c>
      <c r="S20" t="str">
        <f ca="1">INDEX(INDIRECT($R$5),$U$4,16)</f>
        <v>Not feasible</v>
      </c>
      <c r="W20" t="str">
        <f ca="1">INDEX(INDIRECT($V$5),16,$Y$4)</f>
        <v>Not feasible</v>
      </c>
    </row>
    <row r="21" spans="1:23" x14ac:dyDescent="0.35">
      <c r="A21">
        <v>6200</v>
      </c>
      <c r="B21" s="46" t="s">
        <v>107</v>
      </c>
      <c r="C21" s="50" t="s">
        <v>107</v>
      </c>
      <c r="D21" s="50" t="s">
        <v>107</v>
      </c>
      <c r="E21" s="50" t="s">
        <v>107</v>
      </c>
      <c r="F21" s="50" t="s">
        <v>107</v>
      </c>
      <c r="G21" s="50" t="s">
        <v>107</v>
      </c>
      <c r="H21" s="50" t="s">
        <v>107</v>
      </c>
      <c r="I21" s="50" t="s">
        <v>107</v>
      </c>
      <c r="J21" s="50" t="s">
        <v>107</v>
      </c>
      <c r="K21" s="50" t="s">
        <v>107</v>
      </c>
      <c r="L21" s="50" t="s">
        <v>107</v>
      </c>
      <c r="M21" s="50" t="s">
        <v>107</v>
      </c>
      <c r="N21" s="50" t="s">
        <v>107</v>
      </c>
      <c r="O21" s="50" t="s">
        <v>107</v>
      </c>
      <c r="P21" s="50" t="s">
        <v>107</v>
      </c>
      <c r="Q21" s="53" t="s">
        <v>107</v>
      </c>
      <c r="W21" t="str">
        <f ca="1">INDEX(INDIRECT($V$5),17,$Y$4)</f>
        <v>Not feasible</v>
      </c>
    </row>
    <row r="22" spans="1:23" x14ac:dyDescent="0.35">
      <c r="A22">
        <v>6400</v>
      </c>
      <c r="B22" s="46" t="s">
        <v>107</v>
      </c>
      <c r="C22" s="50" t="s">
        <v>107</v>
      </c>
      <c r="D22" s="50" t="s">
        <v>107</v>
      </c>
      <c r="E22" s="50" t="s">
        <v>107</v>
      </c>
      <c r="F22" s="50" t="s">
        <v>107</v>
      </c>
      <c r="G22" s="50" t="s">
        <v>107</v>
      </c>
      <c r="H22" s="50" t="s">
        <v>107</v>
      </c>
      <c r="I22" s="50" t="s">
        <v>107</v>
      </c>
      <c r="J22" s="50" t="s">
        <v>107</v>
      </c>
      <c r="K22" s="50" t="s">
        <v>107</v>
      </c>
      <c r="L22" s="50" t="s">
        <v>107</v>
      </c>
      <c r="M22" s="50" t="s">
        <v>107</v>
      </c>
      <c r="N22" s="50" t="s">
        <v>107</v>
      </c>
      <c r="O22" s="50" t="s">
        <v>107</v>
      </c>
      <c r="P22" s="50" t="s">
        <v>107</v>
      </c>
      <c r="Q22" s="53" t="s">
        <v>107</v>
      </c>
      <c r="W22" t="str">
        <f ca="1">INDEX(INDIRECT($V$5),18,$Y$4)</f>
        <v>Not feasible</v>
      </c>
    </row>
    <row r="23" spans="1:23" x14ac:dyDescent="0.35">
      <c r="A23">
        <v>6600</v>
      </c>
      <c r="B23" s="46" t="s">
        <v>107</v>
      </c>
      <c r="C23" s="50" t="s">
        <v>107</v>
      </c>
      <c r="D23" s="50" t="s">
        <v>107</v>
      </c>
      <c r="E23" s="50" t="s">
        <v>107</v>
      </c>
      <c r="F23" s="50" t="s">
        <v>107</v>
      </c>
      <c r="G23" s="50" t="s">
        <v>107</v>
      </c>
      <c r="H23" s="50" t="s">
        <v>107</v>
      </c>
      <c r="I23" s="50" t="s">
        <v>107</v>
      </c>
      <c r="J23" s="50" t="s">
        <v>107</v>
      </c>
      <c r="K23" s="50" t="s">
        <v>107</v>
      </c>
      <c r="L23" s="50" t="s">
        <v>107</v>
      </c>
      <c r="M23" s="50" t="s">
        <v>107</v>
      </c>
      <c r="N23" s="50" t="s">
        <v>107</v>
      </c>
      <c r="O23" s="50" t="s">
        <v>107</v>
      </c>
      <c r="P23" s="50" t="s">
        <v>107</v>
      </c>
      <c r="Q23" s="53" t="s">
        <v>107</v>
      </c>
      <c r="W23" t="str">
        <f ca="1">INDEX(INDIRECT($V$5),19,$Y$4)</f>
        <v>Not feasible</v>
      </c>
    </row>
    <row r="24" spans="1:23" x14ac:dyDescent="0.35">
      <c r="A24">
        <v>6800</v>
      </c>
      <c r="B24" s="46" t="s">
        <v>107</v>
      </c>
      <c r="C24" s="50" t="s">
        <v>107</v>
      </c>
      <c r="D24" s="50" t="s">
        <v>107</v>
      </c>
      <c r="E24" s="50" t="s">
        <v>107</v>
      </c>
      <c r="F24" s="50" t="s">
        <v>107</v>
      </c>
      <c r="G24" s="50" t="s">
        <v>107</v>
      </c>
      <c r="H24" s="50" t="s">
        <v>107</v>
      </c>
      <c r="I24" s="50" t="s">
        <v>107</v>
      </c>
      <c r="J24" s="50" t="s">
        <v>107</v>
      </c>
      <c r="K24" s="50" t="s">
        <v>107</v>
      </c>
      <c r="L24" s="50" t="s">
        <v>107</v>
      </c>
      <c r="M24" s="50" t="s">
        <v>107</v>
      </c>
      <c r="N24" s="50" t="s">
        <v>107</v>
      </c>
      <c r="O24" s="50" t="s">
        <v>107</v>
      </c>
      <c r="P24" s="50" t="s">
        <v>107</v>
      </c>
      <c r="Q24" s="53" t="s">
        <v>107</v>
      </c>
      <c r="W24" t="str">
        <f ca="1">INDEX(INDIRECT($V$5),20,$Y$4)</f>
        <v>Not feasible</v>
      </c>
    </row>
    <row r="25" spans="1:23" x14ac:dyDescent="0.35">
      <c r="A25">
        <v>7000</v>
      </c>
      <c r="B25" s="48" t="s">
        <v>107</v>
      </c>
      <c r="C25" s="51" t="s">
        <v>107</v>
      </c>
      <c r="D25" s="51" t="s">
        <v>107</v>
      </c>
      <c r="E25" s="51" t="s">
        <v>107</v>
      </c>
      <c r="F25" s="51" t="s">
        <v>107</v>
      </c>
      <c r="G25" s="51" t="s">
        <v>107</v>
      </c>
      <c r="H25" s="51" t="s">
        <v>107</v>
      </c>
      <c r="I25" s="51" t="s">
        <v>107</v>
      </c>
      <c r="J25" s="51" t="s">
        <v>107</v>
      </c>
      <c r="K25" s="51" t="s">
        <v>107</v>
      </c>
      <c r="L25" s="51" t="s">
        <v>107</v>
      </c>
      <c r="M25" s="51" t="s">
        <v>107</v>
      </c>
      <c r="N25" s="51" t="s">
        <v>107</v>
      </c>
      <c r="O25" s="51" t="s">
        <v>107</v>
      </c>
      <c r="P25" s="51" t="s">
        <v>107</v>
      </c>
      <c r="Q25" s="54" t="s">
        <v>107</v>
      </c>
      <c r="W25" t="str">
        <f ca="1">INDEX(INDIRECT($V$5),21,$Y$4)</f>
        <v>Not feasible</v>
      </c>
    </row>
    <row r="27" spans="1:23" x14ac:dyDescent="0.35">
      <c r="A27" s="43" t="s">
        <v>47</v>
      </c>
      <c r="B27" s="42">
        <v>1500</v>
      </c>
      <c r="C27" s="42">
        <v>1600</v>
      </c>
      <c r="D27" s="42">
        <v>1700</v>
      </c>
      <c r="E27" s="42">
        <v>1800</v>
      </c>
      <c r="F27" s="42">
        <v>1900</v>
      </c>
      <c r="G27" s="42">
        <v>2000</v>
      </c>
      <c r="H27" s="42">
        <v>2100</v>
      </c>
      <c r="I27" s="42">
        <v>2200</v>
      </c>
      <c r="J27" s="42">
        <v>2300</v>
      </c>
      <c r="K27" s="42">
        <v>2400</v>
      </c>
      <c r="L27" s="42">
        <v>2500</v>
      </c>
      <c r="M27" s="42">
        <v>2600</v>
      </c>
      <c r="N27" s="42">
        <v>2700</v>
      </c>
      <c r="O27" s="42">
        <v>2800</v>
      </c>
      <c r="P27" s="42">
        <v>2900</v>
      </c>
      <c r="Q27" s="42">
        <v>3000</v>
      </c>
    </row>
    <row r="28" spans="1:23" x14ac:dyDescent="0.35">
      <c r="A28">
        <v>3000</v>
      </c>
      <c r="B28" s="45" t="s">
        <v>107</v>
      </c>
      <c r="C28" s="49" t="s">
        <v>107</v>
      </c>
      <c r="D28" s="49" t="s">
        <v>107</v>
      </c>
      <c r="E28" s="49" t="s">
        <v>107</v>
      </c>
      <c r="F28" s="49" t="s">
        <v>107</v>
      </c>
      <c r="G28" s="49" t="s">
        <v>107</v>
      </c>
      <c r="H28" s="49" t="s">
        <v>107</v>
      </c>
      <c r="I28" s="49" t="s">
        <v>107</v>
      </c>
      <c r="J28" s="49" t="s">
        <v>107</v>
      </c>
      <c r="K28" s="49" t="s">
        <v>107</v>
      </c>
      <c r="L28" s="49" t="s">
        <v>107</v>
      </c>
      <c r="M28" s="49" t="s">
        <v>107</v>
      </c>
      <c r="N28" s="49" t="s">
        <v>107</v>
      </c>
      <c r="O28" s="49" t="s">
        <v>107</v>
      </c>
      <c r="P28" s="49" t="s">
        <v>107</v>
      </c>
      <c r="Q28" s="52" t="s">
        <v>107</v>
      </c>
    </row>
    <row r="29" spans="1:23" x14ac:dyDescent="0.35">
      <c r="A29">
        <v>3200</v>
      </c>
      <c r="B29" s="46" t="s">
        <v>107</v>
      </c>
      <c r="C29" s="50" t="s">
        <v>107</v>
      </c>
      <c r="D29" s="50" t="s">
        <v>107</v>
      </c>
      <c r="E29" s="50" t="s">
        <v>107</v>
      </c>
      <c r="F29" s="50" t="s">
        <v>107</v>
      </c>
      <c r="G29" s="50" t="s">
        <v>107</v>
      </c>
      <c r="H29" s="50" t="s">
        <v>107</v>
      </c>
      <c r="I29" s="50" t="s">
        <v>107</v>
      </c>
      <c r="J29" s="50" t="s">
        <v>107</v>
      </c>
      <c r="K29" s="50" t="s">
        <v>107</v>
      </c>
      <c r="L29" s="50" t="s">
        <v>107</v>
      </c>
      <c r="M29" s="50" t="s">
        <v>107</v>
      </c>
      <c r="N29" s="50" t="s">
        <v>107</v>
      </c>
      <c r="O29" s="50" t="s">
        <v>107</v>
      </c>
      <c r="P29" s="50" t="s">
        <v>107</v>
      </c>
      <c r="Q29" s="53" t="s">
        <v>107</v>
      </c>
    </row>
    <row r="30" spans="1:23" x14ac:dyDescent="0.35">
      <c r="A30">
        <v>3400</v>
      </c>
      <c r="B30" s="46" t="s">
        <v>107</v>
      </c>
      <c r="C30" s="50" t="s">
        <v>107</v>
      </c>
      <c r="D30" s="50" t="s">
        <v>107</v>
      </c>
      <c r="E30" s="50" t="s">
        <v>107</v>
      </c>
      <c r="F30" s="50" t="s">
        <v>107</v>
      </c>
      <c r="G30" s="50" t="s">
        <v>107</v>
      </c>
      <c r="H30" s="50" t="s">
        <v>107</v>
      </c>
      <c r="I30" s="50" t="s">
        <v>107</v>
      </c>
      <c r="J30" s="50" t="s">
        <v>107</v>
      </c>
      <c r="K30" s="50" t="s">
        <v>107</v>
      </c>
      <c r="L30" s="50" t="s">
        <v>107</v>
      </c>
      <c r="M30" s="50" t="s">
        <v>107</v>
      </c>
      <c r="N30" s="50" t="s">
        <v>107</v>
      </c>
      <c r="O30" s="50" t="s">
        <v>107</v>
      </c>
      <c r="P30" s="50" t="s">
        <v>107</v>
      </c>
      <c r="Q30" s="53" t="s">
        <v>107</v>
      </c>
    </row>
    <row r="31" spans="1:23" x14ac:dyDescent="0.35">
      <c r="A31">
        <v>3600</v>
      </c>
      <c r="B31" s="46" t="s">
        <v>107</v>
      </c>
      <c r="C31" s="50" t="s">
        <v>107</v>
      </c>
      <c r="D31" s="50" t="s">
        <v>107</v>
      </c>
      <c r="E31" s="50" t="s">
        <v>107</v>
      </c>
      <c r="F31" s="50" t="s">
        <v>107</v>
      </c>
      <c r="G31" s="50" t="s">
        <v>107</v>
      </c>
      <c r="H31" s="50" t="s">
        <v>107</v>
      </c>
      <c r="I31" s="50" t="s">
        <v>107</v>
      </c>
      <c r="J31" s="50" t="s">
        <v>107</v>
      </c>
      <c r="K31" s="50" t="s">
        <v>107</v>
      </c>
      <c r="L31" s="50" t="s">
        <v>107</v>
      </c>
      <c r="M31" s="50" t="s">
        <v>107</v>
      </c>
      <c r="N31" s="50" t="s">
        <v>107</v>
      </c>
      <c r="O31" s="50" t="s">
        <v>107</v>
      </c>
      <c r="P31" s="50" t="s">
        <v>107</v>
      </c>
      <c r="Q31" s="53" t="s">
        <v>107</v>
      </c>
    </row>
    <row r="32" spans="1:23" x14ac:dyDescent="0.35">
      <c r="A32">
        <v>3800</v>
      </c>
      <c r="B32" s="46" t="s">
        <v>107</v>
      </c>
      <c r="C32" s="50" t="s">
        <v>107</v>
      </c>
      <c r="D32" s="50" t="s">
        <v>107</v>
      </c>
      <c r="E32" s="50" t="s">
        <v>107</v>
      </c>
      <c r="F32" s="50" t="s">
        <v>107</v>
      </c>
      <c r="G32" s="50" t="s">
        <v>107</v>
      </c>
      <c r="H32" s="50" t="s">
        <v>107</v>
      </c>
      <c r="I32" s="50" t="s">
        <v>107</v>
      </c>
      <c r="J32" s="50" t="s">
        <v>107</v>
      </c>
      <c r="K32" s="50" t="s">
        <v>107</v>
      </c>
      <c r="L32" s="50" t="s">
        <v>107</v>
      </c>
      <c r="M32" s="50" t="s">
        <v>107</v>
      </c>
      <c r="N32" s="50" t="s">
        <v>107</v>
      </c>
      <c r="O32" s="50" t="s">
        <v>107</v>
      </c>
      <c r="P32" s="50" t="s">
        <v>107</v>
      </c>
      <c r="Q32" s="53" t="s">
        <v>107</v>
      </c>
    </row>
    <row r="33" spans="1:17" x14ac:dyDescent="0.35">
      <c r="A33">
        <v>4000</v>
      </c>
      <c r="B33" s="46" t="s">
        <v>107</v>
      </c>
      <c r="C33" s="50" t="s">
        <v>107</v>
      </c>
      <c r="D33" s="50" t="s">
        <v>107</v>
      </c>
      <c r="E33" s="50" t="s">
        <v>107</v>
      </c>
      <c r="F33" s="50" t="s">
        <v>107</v>
      </c>
      <c r="G33" s="50" t="s">
        <v>107</v>
      </c>
      <c r="H33" s="50" t="s">
        <v>107</v>
      </c>
      <c r="I33" s="50" t="s">
        <v>107</v>
      </c>
      <c r="J33" s="50" t="s">
        <v>107</v>
      </c>
      <c r="K33" s="50" t="s">
        <v>107</v>
      </c>
      <c r="L33" s="50" t="s">
        <v>107</v>
      </c>
      <c r="M33" s="50" t="s">
        <v>107</v>
      </c>
      <c r="N33" s="50" t="s">
        <v>107</v>
      </c>
      <c r="O33" s="50" t="s">
        <v>107</v>
      </c>
      <c r="P33" s="50" t="s">
        <v>107</v>
      </c>
      <c r="Q33" s="53" t="s">
        <v>107</v>
      </c>
    </row>
    <row r="34" spans="1:17" x14ac:dyDescent="0.35">
      <c r="A34">
        <v>4200</v>
      </c>
      <c r="B34" s="46" t="s">
        <v>107</v>
      </c>
      <c r="C34" s="50" t="s">
        <v>107</v>
      </c>
      <c r="D34" s="50" t="s">
        <v>107</v>
      </c>
      <c r="E34" s="50" t="s">
        <v>107</v>
      </c>
      <c r="F34" s="50" t="s">
        <v>107</v>
      </c>
      <c r="G34" s="50" t="s">
        <v>107</v>
      </c>
      <c r="H34" s="50" t="s">
        <v>107</v>
      </c>
      <c r="I34" s="50" t="s">
        <v>107</v>
      </c>
      <c r="J34" s="50" t="s">
        <v>107</v>
      </c>
      <c r="K34" s="50" t="s">
        <v>107</v>
      </c>
      <c r="L34" s="50" t="s">
        <v>107</v>
      </c>
      <c r="M34" s="50" t="s">
        <v>107</v>
      </c>
      <c r="N34" s="50" t="s">
        <v>107</v>
      </c>
      <c r="O34" s="50" t="s">
        <v>107</v>
      </c>
      <c r="P34" s="50" t="s">
        <v>107</v>
      </c>
      <c r="Q34" s="53" t="s">
        <v>107</v>
      </c>
    </row>
    <row r="35" spans="1:17" x14ac:dyDescent="0.35">
      <c r="A35">
        <v>4400</v>
      </c>
      <c r="B35" s="46" t="s">
        <v>107</v>
      </c>
      <c r="C35" s="50" t="s">
        <v>107</v>
      </c>
      <c r="D35" s="50" t="s">
        <v>107</v>
      </c>
      <c r="E35" s="50" t="s">
        <v>107</v>
      </c>
      <c r="F35" s="50" t="s">
        <v>107</v>
      </c>
      <c r="G35" s="50" t="s">
        <v>107</v>
      </c>
      <c r="H35" s="50" t="s">
        <v>107</v>
      </c>
      <c r="I35" s="50" t="s">
        <v>107</v>
      </c>
      <c r="J35" s="50" t="s">
        <v>107</v>
      </c>
      <c r="K35" s="50" t="s">
        <v>107</v>
      </c>
      <c r="L35" s="50" t="s">
        <v>107</v>
      </c>
      <c r="M35" s="50" t="s">
        <v>107</v>
      </c>
      <c r="N35" s="50" t="s">
        <v>107</v>
      </c>
      <c r="O35" s="50" t="s">
        <v>107</v>
      </c>
      <c r="P35" s="50" t="s">
        <v>107</v>
      </c>
      <c r="Q35" s="53" t="s">
        <v>107</v>
      </c>
    </row>
    <row r="36" spans="1:17" x14ac:dyDescent="0.35">
      <c r="A36">
        <v>4600</v>
      </c>
      <c r="B36" s="46" t="s">
        <v>107</v>
      </c>
      <c r="C36" s="50" t="s">
        <v>107</v>
      </c>
      <c r="D36" s="50" t="s">
        <v>107</v>
      </c>
      <c r="E36" s="50" t="s">
        <v>107</v>
      </c>
      <c r="F36" s="50" t="s">
        <v>107</v>
      </c>
      <c r="G36" s="50" t="s">
        <v>107</v>
      </c>
      <c r="H36" s="50" t="s">
        <v>107</v>
      </c>
      <c r="I36" s="50" t="s">
        <v>107</v>
      </c>
      <c r="J36" s="50" t="s">
        <v>107</v>
      </c>
      <c r="K36" s="50" t="s">
        <v>107</v>
      </c>
      <c r="L36" s="50" t="s">
        <v>107</v>
      </c>
      <c r="M36" s="50" t="s">
        <v>107</v>
      </c>
      <c r="N36" s="50" t="s">
        <v>107</v>
      </c>
      <c r="O36" s="50" t="s">
        <v>107</v>
      </c>
      <c r="P36" s="50" t="s">
        <v>107</v>
      </c>
      <c r="Q36" s="53" t="s">
        <v>107</v>
      </c>
    </row>
    <row r="37" spans="1:17" x14ac:dyDescent="0.35">
      <c r="A37">
        <v>4800</v>
      </c>
      <c r="B37" s="46" t="s">
        <v>107</v>
      </c>
      <c r="C37" s="50" t="s">
        <v>107</v>
      </c>
      <c r="D37" s="50" t="s">
        <v>107</v>
      </c>
      <c r="E37" s="50" t="s">
        <v>107</v>
      </c>
      <c r="F37" s="50" t="s">
        <v>107</v>
      </c>
      <c r="G37" s="50" t="s">
        <v>107</v>
      </c>
      <c r="H37" s="50" t="s">
        <v>107</v>
      </c>
      <c r="I37" s="50" t="s">
        <v>107</v>
      </c>
      <c r="J37" s="50" t="s">
        <v>107</v>
      </c>
      <c r="K37" s="50" t="s">
        <v>107</v>
      </c>
      <c r="L37" s="50" t="s">
        <v>107</v>
      </c>
      <c r="M37" s="50" t="s">
        <v>107</v>
      </c>
      <c r="N37" s="50" t="s">
        <v>107</v>
      </c>
      <c r="O37" s="50" t="s">
        <v>107</v>
      </c>
      <c r="P37" s="50" t="s">
        <v>107</v>
      </c>
      <c r="Q37" s="53" t="s">
        <v>107</v>
      </c>
    </row>
    <row r="38" spans="1:17" x14ac:dyDescent="0.35">
      <c r="A38">
        <v>5000</v>
      </c>
      <c r="B38" s="46" t="s">
        <v>107</v>
      </c>
      <c r="C38" s="50" t="s">
        <v>107</v>
      </c>
      <c r="D38" s="50" t="s">
        <v>107</v>
      </c>
      <c r="E38" s="50" t="s">
        <v>107</v>
      </c>
      <c r="F38" s="50" t="s">
        <v>107</v>
      </c>
      <c r="G38" s="50" t="s">
        <v>107</v>
      </c>
      <c r="H38" s="50" t="s">
        <v>107</v>
      </c>
      <c r="I38" s="50" t="s">
        <v>107</v>
      </c>
      <c r="J38" s="50" t="s">
        <v>107</v>
      </c>
      <c r="K38" s="50" t="s">
        <v>107</v>
      </c>
      <c r="L38" s="50" t="s">
        <v>107</v>
      </c>
      <c r="M38" s="50" t="s">
        <v>107</v>
      </c>
      <c r="N38" s="50" t="s">
        <v>107</v>
      </c>
      <c r="O38" s="50" t="s">
        <v>107</v>
      </c>
      <c r="P38" s="50" t="s">
        <v>107</v>
      </c>
      <c r="Q38" s="53" t="s">
        <v>107</v>
      </c>
    </row>
    <row r="39" spans="1:17" x14ac:dyDescent="0.35">
      <c r="A39">
        <v>5200</v>
      </c>
      <c r="B39" s="55">
        <v>0</v>
      </c>
      <c r="C39" s="42">
        <v>0</v>
      </c>
      <c r="D39" s="42">
        <v>0</v>
      </c>
      <c r="E39" s="42">
        <v>0</v>
      </c>
      <c r="F39" s="42">
        <v>0</v>
      </c>
      <c r="G39" s="42">
        <v>0</v>
      </c>
      <c r="H39" s="42">
        <v>0</v>
      </c>
      <c r="I39" s="42">
        <v>0</v>
      </c>
      <c r="J39" s="42">
        <v>0</v>
      </c>
      <c r="K39" s="42">
        <v>0</v>
      </c>
      <c r="L39" s="42">
        <v>0</v>
      </c>
      <c r="M39" s="42">
        <v>0</v>
      </c>
      <c r="N39" s="42">
        <v>0</v>
      </c>
      <c r="O39" s="42">
        <v>0</v>
      </c>
      <c r="P39" s="42">
        <v>0</v>
      </c>
      <c r="Q39" s="38">
        <v>0</v>
      </c>
    </row>
    <row r="40" spans="1:17" x14ac:dyDescent="0.35">
      <c r="A40">
        <v>5400</v>
      </c>
      <c r="B40" s="55">
        <v>560</v>
      </c>
      <c r="C40" s="42">
        <v>560</v>
      </c>
      <c r="D40" s="42">
        <v>560</v>
      </c>
      <c r="E40" s="42">
        <v>560</v>
      </c>
      <c r="F40" s="42">
        <v>560</v>
      </c>
      <c r="G40" s="42">
        <v>560</v>
      </c>
      <c r="H40" s="42">
        <v>560</v>
      </c>
      <c r="I40" s="42">
        <v>560</v>
      </c>
      <c r="J40" s="42">
        <v>560</v>
      </c>
      <c r="K40" s="42">
        <v>560</v>
      </c>
      <c r="L40" s="42">
        <v>560</v>
      </c>
      <c r="M40" s="42">
        <v>560</v>
      </c>
      <c r="N40" s="42">
        <v>560</v>
      </c>
      <c r="O40" s="42">
        <v>560</v>
      </c>
      <c r="P40" s="42">
        <v>560</v>
      </c>
      <c r="Q40" s="38">
        <v>560</v>
      </c>
    </row>
    <row r="41" spans="1:17" x14ac:dyDescent="0.35">
      <c r="A41">
        <v>5600</v>
      </c>
      <c r="B41" s="46" t="s">
        <v>107</v>
      </c>
      <c r="C41" s="50" t="s">
        <v>107</v>
      </c>
      <c r="D41" s="50" t="s">
        <v>107</v>
      </c>
      <c r="E41" s="50" t="s">
        <v>107</v>
      </c>
      <c r="F41" s="50" t="s">
        <v>107</v>
      </c>
      <c r="G41" s="50" t="s">
        <v>107</v>
      </c>
      <c r="H41" s="50" t="s">
        <v>107</v>
      </c>
      <c r="I41" s="50" t="s">
        <v>107</v>
      </c>
      <c r="J41" s="50" t="s">
        <v>107</v>
      </c>
      <c r="K41" s="50" t="s">
        <v>107</v>
      </c>
      <c r="L41" s="50" t="s">
        <v>107</v>
      </c>
      <c r="M41" s="50" t="s">
        <v>107</v>
      </c>
      <c r="N41" s="50" t="s">
        <v>107</v>
      </c>
      <c r="O41" s="50" t="s">
        <v>107</v>
      </c>
      <c r="P41" s="50" t="s">
        <v>107</v>
      </c>
      <c r="Q41" s="53" t="s">
        <v>107</v>
      </c>
    </row>
    <row r="42" spans="1:17" x14ac:dyDescent="0.35">
      <c r="A42">
        <v>5800</v>
      </c>
      <c r="B42" s="46" t="s">
        <v>107</v>
      </c>
      <c r="C42" s="50" t="s">
        <v>107</v>
      </c>
      <c r="D42" s="50" t="s">
        <v>107</v>
      </c>
      <c r="E42" s="50" t="s">
        <v>107</v>
      </c>
      <c r="F42" s="50" t="s">
        <v>107</v>
      </c>
      <c r="G42" s="50" t="s">
        <v>107</v>
      </c>
      <c r="H42" s="50" t="s">
        <v>107</v>
      </c>
      <c r="I42" s="50" t="s">
        <v>107</v>
      </c>
      <c r="J42" s="50" t="s">
        <v>107</v>
      </c>
      <c r="K42" s="50" t="s">
        <v>107</v>
      </c>
      <c r="L42" s="50" t="s">
        <v>107</v>
      </c>
      <c r="M42" s="50" t="s">
        <v>107</v>
      </c>
      <c r="N42" s="50" t="s">
        <v>107</v>
      </c>
      <c r="O42" s="50" t="s">
        <v>107</v>
      </c>
      <c r="P42" s="50" t="s">
        <v>107</v>
      </c>
      <c r="Q42" s="53" t="s">
        <v>107</v>
      </c>
    </row>
    <row r="43" spans="1:17" x14ac:dyDescent="0.35">
      <c r="A43">
        <v>6000</v>
      </c>
      <c r="B43" s="46" t="s">
        <v>107</v>
      </c>
      <c r="C43" s="50" t="s">
        <v>107</v>
      </c>
      <c r="D43" s="50" t="s">
        <v>107</v>
      </c>
      <c r="E43" s="50" t="s">
        <v>107</v>
      </c>
      <c r="F43" s="50" t="s">
        <v>107</v>
      </c>
      <c r="G43" s="50" t="s">
        <v>107</v>
      </c>
      <c r="H43" s="50" t="s">
        <v>107</v>
      </c>
      <c r="I43" s="50" t="s">
        <v>107</v>
      </c>
      <c r="J43" s="50" t="s">
        <v>107</v>
      </c>
      <c r="K43" s="50" t="s">
        <v>107</v>
      </c>
      <c r="L43" s="50" t="s">
        <v>107</v>
      </c>
      <c r="M43" s="50" t="s">
        <v>107</v>
      </c>
      <c r="N43" s="50" t="s">
        <v>107</v>
      </c>
      <c r="O43" s="50" t="s">
        <v>107</v>
      </c>
      <c r="P43" s="50" t="s">
        <v>107</v>
      </c>
      <c r="Q43" s="53" t="s">
        <v>107</v>
      </c>
    </row>
    <row r="44" spans="1:17" x14ac:dyDescent="0.35">
      <c r="A44">
        <v>6200</v>
      </c>
      <c r="B44" s="46" t="s">
        <v>107</v>
      </c>
      <c r="C44" s="50" t="s">
        <v>107</v>
      </c>
      <c r="D44" s="50" t="s">
        <v>107</v>
      </c>
      <c r="E44" s="50" t="s">
        <v>107</v>
      </c>
      <c r="F44" s="50" t="s">
        <v>107</v>
      </c>
      <c r="G44" s="50" t="s">
        <v>107</v>
      </c>
      <c r="H44" s="50" t="s">
        <v>107</v>
      </c>
      <c r="I44" s="50" t="s">
        <v>107</v>
      </c>
      <c r="J44" s="50" t="s">
        <v>107</v>
      </c>
      <c r="K44" s="50" t="s">
        <v>107</v>
      </c>
      <c r="L44" s="50" t="s">
        <v>107</v>
      </c>
      <c r="M44" s="50" t="s">
        <v>107</v>
      </c>
      <c r="N44" s="50" t="s">
        <v>107</v>
      </c>
      <c r="O44" s="50" t="s">
        <v>107</v>
      </c>
      <c r="P44" s="50" t="s">
        <v>107</v>
      </c>
      <c r="Q44" s="53" t="s">
        <v>107</v>
      </c>
    </row>
    <row r="45" spans="1:17" x14ac:dyDescent="0.35">
      <c r="A45">
        <v>6400</v>
      </c>
      <c r="B45" s="46" t="s">
        <v>107</v>
      </c>
      <c r="C45" s="50" t="s">
        <v>107</v>
      </c>
      <c r="D45" s="50" t="s">
        <v>107</v>
      </c>
      <c r="E45" s="50" t="s">
        <v>107</v>
      </c>
      <c r="F45" s="50" t="s">
        <v>107</v>
      </c>
      <c r="G45" s="50" t="s">
        <v>107</v>
      </c>
      <c r="H45" s="50" t="s">
        <v>107</v>
      </c>
      <c r="I45" s="50" t="s">
        <v>107</v>
      </c>
      <c r="J45" s="50" t="s">
        <v>107</v>
      </c>
      <c r="K45" s="50" t="s">
        <v>107</v>
      </c>
      <c r="L45" s="50" t="s">
        <v>107</v>
      </c>
      <c r="M45" s="50" t="s">
        <v>107</v>
      </c>
      <c r="N45" s="50" t="s">
        <v>107</v>
      </c>
      <c r="O45" s="50" t="s">
        <v>107</v>
      </c>
      <c r="P45" s="50" t="s">
        <v>107</v>
      </c>
      <c r="Q45" s="53" t="s">
        <v>107</v>
      </c>
    </row>
    <row r="46" spans="1:17" x14ac:dyDescent="0.35">
      <c r="A46">
        <v>6600</v>
      </c>
      <c r="B46" s="46" t="s">
        <v>107</v>
      </c>
      <c r="C46" s="50" t="s">
        <v>107</v>
      </c>
      <c r="D46" s="50" t="s">
        <v>107</v>
      </c>
      <c r="E46" s="50" t="s">
        <v>107</v>
      </c>
      <c r="F46" s="50" t="s">
        <v>107</v>
      </c>
      <c r="G46" s="50" t="s">
        <v>107</v>
      </c>
      <c r="H46" s="50" t="s">
        <v>107</v>
      </c>
      <c r="I46" s="50" t="s">
        <v>107</v>
      </c>
      <c r="J46" s="50" t="s">
        <v>107</v>
      </c>
      <c r="K46" s="50" t="s">
        <v>107</v>
      </c>
      <c r="L46" s="50" t="s">
        <v>107</v>
      </c>
      <c r="M46" s="50" t="s">
        <v>107</v>
      </c>
      <c r="N46" s="50" t="s">
        <v>107</v>
      </c>
      <c r="O46" s="50" t="s">
        <v>107</v>
      </c>
      <c r="P46" s="50" t="s">
        <v>107</v>
      </c>
      <c r="Q46" s="53" t="s">
        <v>107</v>
      </c>
    </row>
    <row r="47" spans="1:17" x14ac:dyDescent="0.35">
      <c r="A47">
        <v>6800</v>
      </c>
      <c r="B47" s="46" t="s">
        <v>107</v>
      </c>
      <c r="C47" s="50" t="s">
        <v>107</v>
      </c>
      <c r="D47" s="50" t="s">
        <v>107</v>
      </c>
      <c r="E47" s="50" t="s">
        <v>107</v>
      </c>
      <c r="F47" s="50" t="s">
        <v>107</v>
      </c>
      <c r="G47" s="50" t="s">
        <v>107</v>
      </c>
      <c r="H47" s="50" t="s">
        <v>107</v>
      </c>
      <c r="I47" s="50" t="s">
        <v>107</v>
      </c>
      <c r="J47" s="50" t="s">
        <v>107</v>
      </c>
      <c r="K47" s="50" t="s">
        <v>107</v>
      </c>
      <c r="L47" s="50" t="s">
        <v>107</v>
      </c>
      <c r="M47" s="50" t="s">
        <v>107</v>
      </c>
      <c r="N47" s="50" t="s">
        <v>107</v>
      </c>
      <c r="O47" s="50" t="s">
        <v>107</v>
      </c>
      <c r="P47" s="50" t="s">
        <v>107</v>
      </c>
      <c r="Q47" s="53" t="s">
        <v>107</v>
      </c>
    </row>
    <row r="48" spans="1:17" x14ac:dyDescent="0.35">
      <c r="A48">
        <v>7000</v>
      </c>
      <c r="B48" s="48" t="s">
        <v>107</v>
      </c>
      <c r="C48" s="51" t="s">
        <v>107</v>
      </c>
      <c r="D48" s="51" t="s">
        <v>107</v>
      </c>
      <c r="E48" s="51" t="s">
        <v>107</v>
      </c>
      <c r="F48" s="51" t="s">
        <v>107</v>
      </c>
      <c r="G48" s="51" t="s">
        <v>107</v>
      </c>
      <c r="H48" s="51" t="s">
        <v>107</v>
      </c>
      <c r="I48" s="51" t="s">
        <v>107</v>
      </c>
      <c r="J48" s="51" t="s">
        <v>107</v>
      </c>
      <c r="K48" s="51" t="s">
        <v>107</v>
      </c>
      <c r="L48" s="51" t="s">
        <v>107</v>
      </c>
      <c r="M48" s="51" t="s">
        <v>107</v>
      </c>
      <c r="N48" s="51" t="s">
        <v>107</v>
      </c>
      <c r="O48" s="51" t="s">
        <v>107</v>
      </c>
      <c r="P48" s="51" t="s">
        <v>107</v>
      </c>
      <c r="Q48" s="54" t="s">
        <v>107</v>
      </c>
    </row>
    <row r="50" spans="1:17" x14ac:dyDescent="0.35">
      <c r="A50" s="43" t="s">
        <v>49</v>
      </c>
      <c r="B50" s="42">
        <v>1500</v>
      </c>
      <c r="C50" s="42">
        <v>1600</v>
      </c>
      <c r="D50" s="42">
        <v>1700</v>
      </c>
      <c r="E50" s="42">
        <v>1800</v>
      </c>
      <c r="F50" s="42">
        <v>1900</v>
      </c>
      <c r="G50" s="42">
        <v>2000</v>
      </c>
      <c r="H50" s="42">
        <v>2100</v>
      </c>
      <c r="I50" s="42">
        <v>2200</v>
      </c>
      <c r="J50" s="42">
        <v>2300</v>
      </c>
      <c r="K50" s="42">
        <v>2400</v>
      </c>
      <c r="L50" s="42">
        <v>2500</v>
      </c>
      <c r="M50" s="42">
        <v>2600</v>
      </c>
      <c r="N50" s="42">
        <v>2700</v>
      </c>
      <c r="O50" s="42">
        <v>2800</v>
      </c>
      <c r="P50" s="42">
        <v>2900</v>
      </c>
      <c r="Q50" s="42">
        <v>3000</v>
      </c>
    </row>
    <row r="51" spans="1:17" x14ac:dyDescent="0.35">
      <c r="A51">
        <v>3000</v>
      </c>
      <c r="B51" s="45" t="s">
        <v>107</v>
      </c>
      <c r="C51" s="49" t="s">
        <v>107</v>
      </c>
      <c r="D51" s="49" t="s">
        <v>107</v>
      </c>
      <c r="E51" s="49" t="s">
        <v>107</v>
      </c>
      <c r="F51" s="49" t="s">
        <v>107</v>
      </c>
      <c r="G51" s="49" t="s">
        <v>107</v>
      </c>
      <c r="H51" s="49" t="s">
        <v>107</v>
      </c>
      <c r="I51" s="49" t="s">
        <v>107</v>
      </c>
      <c r="J51" s="49" t="s">
        <v>107</v>
      </c>
      <c r="K51" s="49" t="s">
        <v>107</v>
      </c>
      <c r="L51" s="49" t="s">
        <v>107</v>
      </c>
      <c r="M51" s="49" t="s">
        <v>107</v>
      </c>
      <c r="N51" s="49" t="s">
        <v>107</v>
      </c>
      <c r="O51" s="49" t="s">
        <v>107</v>
      </c>
      <c r="P51" s="49" t="s">
        <v>107</v>
      </c>
      <c r="Q51" s="52" t="s">
        <v>107</v>
      </c>
    </row>
    <row r="52" spans="1:17" x14ac:dyDescent="0.35">
      <c r="A52">
        <v>3200</v>
      </c>
      <c r="B52" s="46" t="s">
        <v>107</v>
      </c>
      <c r="C52" s="50" t="s">
        <v>107</v>
      </c>
      <c r="D52" s="50" t="s">
        <v>107</v>
      </c>
      <c r="E52" s="50" t="s">
        <v>107</v>
      </c>
      <c r="F52" s="50" t="s">
        <v>107</v>
      </c>
      <c r="G52" s="50" t="s">
        <v>107</v>
      </c>
      <c r="H52" s="50" t="s">
        <v>107</v>
      </c>
      <c r="I52" s="50" t="s">
        <v>107</v>
      </c>
      <c r="J52" s="50" t="s">
        <v>107</v>
      </c>
      <c r="K52" s="50" t="s">
        <v>107</v>
      </c>
      <c r="L52" s="50" t="s">
        <v>107</v>
      </c>
      <c r="M52" s="50" t="s">
        <v>107</v>
      </c>
      <c r="N52" s="50" t="s">
        <v>107</v>
      </c>
      <c r="O52" s="50" t="s">
        <v>107</v>
      </c>
      <c r="P52" s="50" t="s">
        <v>107</v>
      </c>
      <c r="Q52" s="53" t="s">
        <v>107</v>
      </c>
    </row>
    <row r="53" spans="1:17" x14ac:dyDescent="0.35">
      <c r="A53">
        <v>3400</v>
      </c>
      <c r="B53" s="46" t="s">
        <v>107</v>
      </c>
      <c r="C53" s="50" t="s">
        <v>107</v>
      </c>
      <c r="D53" s="50" t="s">
        <v>107</v>
      </c>
      <c r="E53" s="50" t="s">
        <v>107</v>
      </c>
      <c r="F53" s="50" t="s">
        <v>107</v>
      </c>
      <c r="G53" s="50" t="s">
        <v>107</v>
      </c>
      <c r="H53" s="50" t="s">
        <v>107</v>
      </c>
      <c r="I53" s="50" t="s">
        <v>107</v>
      </c>
      <c r="J53" s="50" t="s">
        <v>107</v>
      </c>
      <c r="K53" s="50" t="s">
        <v>107</v>
      </c>
      <c r="L53" s="50" t="s">
        <v>107</v>
      </c>
      <c r="M53" s="50" t="s">
        <v>107</v>
      </c>
      <c r="N53" s="50" t="s">
        <v>107</v>
      </c>
      <c r="O53" s="50" t="s">
        <v>107</v>
      </c>
      <c r="P53" s="50" t="s">
        <v>107</v>
      </c>
      <c r="Q53" s="53" t="s">
        <v>107</v>
      </c>
    </row>
    <row r="54" spans="1:17" x14ac:dyDescent="0.35">
      <c r="A54">
        <v>3600</v>
      </c>
      <c r="B54" s="46" t="s">
        <v>107</v>
      </c>
      <c r="C54" s="50" t="s">
        <v>107</v>
      </c>
      <c r="D54" s="50" t="s">
        <v>107</v>
      </c>
      <c r="E54" s="50" t="s">
        <v>107</v>
      </c>
      <c r="F54" s="50" t="s">
        <v>107</v>
      </c>
      <c r="G54" s="50" t="s">
        <v>107</v>
      </c>
      <c r="H54" s="50" t="s">
        <v>107</v>
      </c>
      <c r="I54" s="50" t="s">
        <v>107</v>
      </c>
      <c r="J54" s="50" t="s">
        <v>107</v>
      </c>
      <c r="K54" s="50" t="s">
        <v>107</v>
      </c>
      <c r="L54" s="50" t="s">
        <v>107</v>
      </c>
      <c r="M54" s="50" t="s">
        <v>107</v>
      </c>
      <c r="N54" s="50" t="s">
        <v>107</v>
      </c>
      <c r="O54" s="50" t="s">
        <v>107</v>
      </c>
      <c r="P54" s="50" t="s">
        <v>107</v>
      </c>
      <c r="Q54" s="53" t="s">
        <v>107</v>
      </c>
    </row>
    <row r="55" spans="1:17" x14ac:dyDescent="0.35">
      <c r="A55">
        <v>3800</v>
      </c>
      <c r="B55" s="46" t="s">
        <v>107</v>
      </c>
      <c r="C55" s="50" t="s">
        <v>107</v>
      </c>
      <c r="D55" s="50" t="s">
        <v>107</v>
      </c>
      <c r="E55" s="50" t="s">
        <v>107</v>
      </c>
      <c r="F55" s="50" t="s">
        <v>107</v>
      </c>
      <c r="G55" s="50" t="s">
        <v>107</v>
      </c>
      <c r="H55" s="50" t="s">
        <v>107</v>
      </c>
      <c r="I55" s="50" t="s">
        <v>107</v>
      </c>
      <c r="J55" s="50" t="s">
        <v>107</v>
      </c>
      <c r="K55" s="50" t="s">
        <v>107</v>
      </c>
      <c r="L55" s="50" t="s">
        <v>107</v>
      </c>
      <c r="M55" s="50" t="s">
        <v>107</v>
      </c>
      <c r="N55" s="50" t="s">
        <v>107</v>
      </c>
      <c r="O55" s="50" t="s">
        <v>107</v>
      </c>
      <c r="P55" s="50" t="s">
        <v>107</v>
      </c>
      <c r="Q55" s="53" t="s">
        <v>107</v>
      </c>
    </row>
    <row r="56" spans="1:17" x14ac:dyDescent="0.35">
      <c r="A56">
        <v>4000</v>
      </c>
      <c r="B56" s="46" t="s">
        <v>107</v>
      </c>
      <c r="C56" s="50" t="s">
        <v>107</v>
      </c>
      <c r="D56" s="50" t="s">
        <v>107</v>
      </c>
      <c r="E56" s="50" t="s">
        <v>107</v>
      </c>
      <c r="F56" s="50" t="s">
        <v>107</v>
      </c>
      <c r="G56" s="50" t="s">
        <v>107</v>
      </c>
      <c r="H56" s="50" t="s">
        <v>107</v>
      </c>
      <c r="I56" s="50" t="s">
        <v>107</v>
      </c>
      <c r="J56" s="50" t="s">
        <v>107</v>
      </c>
      <c r="K56" s="50" t="s">
        <v>107</v>
      </c>
      <c r="L56" s="50" t="s">
        <v>107</v>
      </c>
      <c r="M56" s="50" t="s">
        <v>107</v>
      </c>
      <c r="N56" s="50" t="s">
        <v>107</v>
      </c>
      <c r="O56" s="50" t="s">
        <v>107</v>
      </c>
      <c r="P56" s="50" t="s">
        <v>107</v>
      </c>
      <c r="Q56" s="53" t="s">
        <v>107</v>
      </c>
    </row>
    <row r="57" spans="1:17" x14ac:dyDescent="0.35">
      <c r="A57">
        <v>4200</v>
      </c>
      <c r="B57" s="46" t="s">
        <v>107</v>
      </c>
      <c r="C57" s="50" t="s">
        <v>107</v>
      </c>
      <c r="D57" s="50" t="s">
        <v>107</v>
      </c>
      <c r="E57" s="50" t="s">
        <v>107</v>
      </c>
      <c r="F57" s="50" t="s">
        <v>107</v>
      </c>
      <c r="G57" s="50" t="s">
        <v>107</v>
      </c>
      <c r="H57" s="50" t="s">
        <v>107</v>
      </c>
      <c r="I57" s="50" t="s">
        <v>107</v>
      </c>
      <c r="J57" s="50" t="s">
        <v>107</v>
      </c>
      <c r="K57" s="50" t="s">
        <v>107</v>
      </c>
      <c r="L57" s="50" t="s">
        <v>107</v>
      </c>
      <c r="M57" s="50" t="s">
        <v>107</v>
      </c>
      <c r="N57" s="50" t="s">
        <v>107</v>
      </c>
      <c r="O57" s="50" t="s">
        <v>107</v>
      </c>
      <c r="P57" s="50" t="s">
        <v>107</v>
      </c>
      <c r="Q57" s="53" t="s">
        <v>107</v>
      </c>
    </row>
    <row r="58" spans="1:17" x14ac:dyDescent="0.35">
      <c r="A58">
        <v>4400</v>
      </c>
      <c r="B58" s="46" t="s">
        <v>107</v>
      </c>
      <c r="C58" s="50" t="s">
        <v>107</v>
      </c>
      <c r="D58" s="50" t="s">
        <v>107</v>
      </c>
      <c r="E58" s="50" t="s">
        <v>107</v>
      </c>
      <c r="F58" s="50" t="s">
        <v>107</v>
      </c>
      <c r="G58" s="50" t="s">
        <v>107</v>
      </c>
      <c r="H58" s="50" t="s">
        <v>107</v>
      </c>
      <c r="I58" s="50" t="s">
        <v>107</v>
      </c>
      <c r="J58" s="50" t="s">
        <v>107</v>
      </c>
      <c r="K58" s="50" t="s">
        <v>107</v>
      </c>
      <c r="L58" s="50" t="s">
        <v>107</v>
      </c>
      <c r="M58" s="50" t="s">
        <v>107</v>
      </c>
      <c r="N58" s="50" t="s">
        <v>107</v>
      </c>
      <c r="O58" s="50" t="s">
        <v>107</v>
      </c>
      <c r="P58" s="50" t="s">
        <v>107</v>
      </c>
      <c r="Q58" s="53" t="s">
        <v>107</v>
      </c>
    </row>
    <row r="59" spans="1:17" x14ac:dyDescent="0.35">
      <c r="A59">
        <v>4600</v>
      </c>
      <c r="B59" s="46" t="s">
        <v>107</v>
      </c>
      <c r="C59" s="50" t="s">
        <v>107</v>
      </c>
      <c r="D59" s="50" t="s">
        <v>107</v>
      </c>
      <c r="E59" s="50" t="s">
        <v>107</v>
      </c>
      <c r="F59" s="50" t="s">
        <v>107</v>
      </c>
      <c r="G59" s="50" t="s">
        <v>107</v>
      </c>
      <c r="H59" s="50" t="s">
        <v>107</v>
      </c>
      <c r="I59" s="50" t="s">
        <v>107</v>
      </c>
      <c r="J59" s="50" t="s">
        <v>107</v>
      </c>
      <c r="K59" s="50" t="s">
        <v>107</v>
      </c>
      <c r="L59" s="50" t="s">
        <v>107</v>
      </c>
      <c r="M59" s="50" t="s">
        <v>107</v>
      </c>
      <c r="N59" s="50" t="s">
        <v>107</v>
      </c>
      <c r="O59" s="50" t="s">
        <v>107</v>
      </c>
      <c r="P59" s="50" t="s">
        <v>107</v>
      </c>
      <c r="Q59" s="53" t="s">
        <v>107</v>
      </c>
    </row>
    <row r="60" spans="1:17" x14ac:dyDescent="0.35">
      <c r="A60">
        <v>4800</v>
      </c>
      <c r="B60" s="46" t="s">
        <v>107</v>
      </c>
      <c r="C60" s="50" t="s">
        <v>107</v>
      </c>
      <c r="D60" s="50" t="s">
        <v>107</v>
      </c>
      <c r="E60" s="50" t="s">
        <v>107</v>
      </c>
      <c r="F60" s="50" t="s">
        <v>107</v>
      </c>
      <c r="G60" s="50" t="s">
        <v>107</v>
      </c>
      <c r="H60" s="50" t="s">
        <v>107</v>
      </c>
      <c r="I60" s="50" t="s">
        <v>107</v>
      </c>
      <c r="J60" s="50" t="s">
        <v>107</v>
      </c>
      <c r="K60" s="50" t="s">
        <v>107</v>
      </c>
      <c r="L60" s="50" t="s">
        <v>107</v>
      </c>
      <c r="M60" s="50" t="s">
        <v>107</v>
      </c>
      <c r="N60" s="50" t="s">
        <v>107</v>
      </c>
      <c r="O60" s="50" t="s">
        <v>107</v>
      </c>
      <c r="P60" s="50" t="s">
        <v>107</v>
      </c>
      <c r="Q60" s="53" t="s">
        <v>107</v>
      </c>
    </row>
    <row r="61" spans="1:17" x14ac:dyDescent="0.35">
      <c r="A61">
        <v>5000</v>
      </c>
      <c r="B61" s="46" t="s">
        <v>107</v>
      </c>
      <c r="C61" s="50" t="s">
        <v>107</v>
      </c>
      <c r="D61" s="50" t="s">
        <v>107</v>
      </c>
      <c r="E61" s="50" t="s">
        <v>107</v>
      </c>
      <c r="F61" s="50" t="s">
        <v>107</v>
      </c>
      <c r="G61" s="50" t="s">
        <v>107</v>
      </c>
      <c r="H61" s="50" t="s">
        <v>107</v>
      </c>
      <c r="I61" s="50" t="s">
        <v>107</v>
      </c>
      <c r="J61" s="50" t="s">
        <v>107</v>
      </c>
      <c r="K61" s="50" t="s">
        <v>107</v>
      </c>
      <c r="L61" s="50" t="s">
        <v>107</v>
      </c>
      <c r="M61" s="50" t="s">
        <v>107</v>
      </c>
      <c r="N61" s="50" t="s">
        <v>107</v>
      </c>
      <c r="O61" s="50" t="s">
        <v>107</v>
      </c>
      <c r="P61" s="50" t="s">
        <v>107</v>
      </c>
      <c r="Q61" s="53" t="s">
        <v>107</v>
      </c>
    </row>
    <row r="62" spans="1:17" x14ac:dyDescent="0.35">
      <c r="A62">
        <v>5200</v>
      </c>
      <c r="B62" s="55">
        <v>320</v>
      </c>
      <c r="C62" s="42">
        <v>320</v>
      </c>
      <c r="D62" s="42">
        <v>320</v>
      </c>
      <c r="E62" s="42">
        <v>320</v>
      </c>
      <c r="F62" s="42">
        <v>320</v>
      </c>
      <c r="G62" s="42">
        <v>320</v>
      </c>
      <c r="H62" s="42">
        <v>320</v>
      </c>
      <c r="I62" s="42">
        <v>320</v>
      </c>
      <c r="J62" s="42">
        <v>320</v>
      </c>
      <c r="K62" s="42">
        <v>320</v>
      </c>
      <c r="L62" s="42">
        <v>320</v>
      </c>
      <c r="M62" s="42">
        <v>320</v>
      </c>
      <c r="N62" s="42">
        <v>320</v>
      </c>
      <c r="O62" s="42">
        <v>320</v>
      </c>
      <c r="P62" s="42">
        <v>320</v>
      </c>
      <c r="Q62" s="38">
        <v>320</v>
      </c>
    </row>
    <row r="63" spans="1:17" x14ac:dyDescent="0.35">
      <c r="A63">
        <v>5400</v>
      </c>
      <c r="B63" s="55">
        <v>2140</v>
      </c>
      <c r="C63" s="42">
        <v>2140</v>
      </c>
      <c r="D63" s="42">
        <v>2140</v>
      </c>
      <c r="E63" s="42">
        <v>2140</v>
      </c>
      <c r="F63" s="42">
        <v>2140</v>
      </c>
      <c r="G63" s="42">
        <v>2140</v>
      </c>
      <c r="H63" s="42">
        <v>2140</v>
      </c>
      <c r="I63" s="42">
        <v>2140</v>
      </c>
      <c r="J63" s="42">
        <v>2140</v>
      </c>
      <c r="K63" s="42">
        <v>2140</v>
      </c>
      <c r="L63" s="42">
        <v>2140</v>
      </c>
      <c r="M63" s="42">
        <v>2140</v>
      </c>
      <c r="N63" s="42">
        <v>2140</v>
      </c>
      <c r="O63" s="42">
        <v>2140</v>
      </c>
      <c r="P63" s="42">
        <v>2140</v>
      </c>
      <c r="Q63" s="38">
        <v>2140</v>
      </c>
    </row>
    <row r="64" spans="1:17" x14ac:dyDescent="0.35">
      <c r="A64">
        <v>5600</v>
      </c>
      <c r="B64" s="46" t="s">
        <v>107</v>
      </c>
      <c r="C64" s="50" t="s">
        <v>107</v>
      </c>
      <c r="D64" s="50" t="s">
        <v>107</v>
      </c>
      <c r="E64" s="50" t="s">
        <v>107</v>
      </c>
      <c r="F64" s="50" t="s">
        <v>107</v>
      </c>
      <c r="G64" s="50" t="s">
        <v>107</v>
      </c>
      <c r="H64" s="50" t="s">
        <v>107</v>
      </c>
      <c r="I64" s="50" t="s">
        <v>107</v>
      </c>
      <c r="J64" s="50" t="s">
        <v>107</v>
      </c>
      <c r="K64" s="50" t="s">
        <v>107</v>
      </c>
      <c r="L64" s="50" t="s">
        <v>107</v>
      </c>
      <c r="M64" s="50" t="s">
        <v>107</v>
      </c>
      <c r="N64" s="50" t="s">
        <v>107</v>
      </c>
      <c r="O64" s="50" t="s">
        <v>107</v>
      </c>
      <c r="P64" s="50" t="s">
        <v>107</v>
      </c>
      <c r="Q64" s="53" t="s">
        <v>107</v>
      </c>
    </row>
    <row r="65" spans="1:17" x14ac:dyDescent="0.35">
      <c r="A65">
        <v>5800</v>
      </c>
      <c r="B65" s="46" t="s">
        <v>107</v>
      </c>
      <c r="C65" s="50" t="s">
        <v>107</v>
      </c>
      <c r="D65" s="50" t="s">
        <v>107</v>
      </c>
      <c r="E65" s="50" t="s">
        <v>107</v>
      </c>
      <c r="F65" s="50" t="s">
        <v>107</v>
      </c>
      <c r="G65" s="50" t="s">
        <v>107</v>
      </c>
      <c r="H65" s="50" t="s">
        <v>107</v>
      </c>
      <c r="I65" s="50" t="s">
        <v>107</v>
      </c>
      <c r="J65" s="50" t="s">
        <v>107</v>
      </c>
      <c r="K65" s="50" t="s">
        <v>107</v>
      </c>
      <c r="L65" s="50" t="s">
        <v>107</v>
      </c>
      <c r="M65" s="50" t="s">
        <v>107</v>
      </c>
      <c r="N65" s="50" t="s">
        <v>107</v>
      </c>
      <c r="O65" s="50" t="s">
        <v>107</v>
      </c>
      <c r="P65" s="50" t="s">
        <v>107</v>
      </c>
      <c r="Q65" s="53" t="s">
        <v>107</v>
      </c>
    </row>
    <row r="66" spans="1:17" x14ac:dyDescent="0.35">
      <c r="A66">
        <v>6000</v>
      </c>
      <c r="B66" s="46" t="s">
        <v>107</v>
      </c>
      <c r="C66" s="50" t="s">
        <v>107</v>
      </c>
      <c r="D66" s="50" t="s">
        <v>107</v>
      </c>
      <c r="E66" s="50" t="s">
        <v>107</v>
      </c>
      <c r="F66" s="50" t="s">
        <v>107</v>
      </c>
      <c r="G66" s="50" t="s">
        <v>107</v>
      </c>
      <c r="H66" s="50" t="s">
        <v>107</v>
      </c>
      <c r="I66" s="50" t="s">
        <v>107</v>
      </c>
      <c r="J66" s="50" t="s">
        <v>107</v>
      </c>
      <c r="K66" s="50" t="s">
        <v>107</v>
      </c>
      <c r="L66" s="50" t="s">
        <v>107</v>
      </c>
      <c r="M66" s="50" t="s">
        <v>107</v>
      </c>
      <c r="N66" s="50" t="s">
        <v>107</v>
      </c>
      <c r="O66" s="50" t="s">
        <v>107</v>
      </c>
      <c r="P66" s="50" t="s">
        <v>107</v>
      </c>
      <c r="Q66" s="53" t="s">
        <v>107</v>
      </c>
    </row>
    <row r="67" spans="1:17" x14ac:dyDescent="0.35">
      <c r="A67">
        <v>6200</v>
      </c>
      <c r="B67" s="46" t="s">
        <v>107</v>
      </c>
      <c r="C67" s="50" t="s">
        <v>107</v>
      </c>
      <c r="D67" s="50" t="s">
        <v>107</v>
      </c>
      <c r="E67" s="50" t="s">
        <v>107</v>
      </c>
      <c r="F67" s="50" t="s">
        <v>107</v>
      </c>
      <c r="G67" s="50" t="s">
        <v>107</v>
      </c>
      <c r="H67" s="50" t="s">
        <v>107</v>
      </c>
      <c r="I67" s="50" t="s">
        <v>107</v>
      </c>
      <c r="J67" s="50" t="s">
        <v>107</v>
      </c>
      <c r="K67" s="50" t="s">
        <v>107</v>
      </c>
      <c r="L67" s="50" t="s">
        <v>107</v>
      </c>
      <c r="M67" s="50" t="s">
        <v>107</v>
      </c>
      <c r="N67" s="50" t="s">
        <v>107</v>
      </c>
      <c r="O67" s="50" t="s">
        <v>107</v>
      </c>
      <c r="P67" s="50" t="s">
        <v>107</v>
      </c>
      <c r="Q67" s="53" t="s">
        <v>107</v>
      </c>
    </row>
    <row r="68" spans="1:17" x14ac:dyDescent="0.35">
      <c r="A68">
        <v>6400</v>
      </c>
      <c r="B68" s="46" t="s">
        <v>107</v>
      </c>
      <c r="C68" s="50" t="s">
        <v>107</v>
      </c>
      <c r="D68" s="50" t="s">
        <v>107</v>
      </c>
      <c r="E68" s="50" t="s">
        <v>107</v>
      </c>
      <c r="F68" s="50" t="s">
        <v>107</v>
      </c>
      <c r="G68" s="50" t="s">
        <v>107</v>
      </c>
      <c r="H68" s="50" t="s">
        <v>107</v>
      </c>
      <c r="I68" s="50" t="s">
        <v>107</v>
      </c>
      <c r="J68" s="50" t="s">
        <v>107</v>
      </c>
      <c r="K68" s="50" t="s">
        <v>107</v>
      </c>
      <c r="L68" s="50" t="s">
        <v>107</v>
      </c>
      <c r="M68" s="50" t="s">
        <v>107</v>
      </c>
      <c r="N68" s="50" t="s">
        <v>107</v>
      </c>
      <c r="O68" s="50" t="s">
        <v>107</v>
      </c>
      <c r="P68" s="50" t="s">
        <v>107</v>
      </c>
      <c r="Q68" s="53" t="s">
        <v>107</v>
      </c>
    </row>
    <row r="69" spans="1:17" x14ac:dyDescent="0.35">
      <c r="A69">
        <v>6600</v>
      </c>
      <c r="B69" s="46" t="s">
        <v>107</v>
      </c>
      <c r="C69" s="50" t="s">
        <v>107</v>
      </c>
      <c r="D69" s="50" t="s">
        <v>107</v>
      </c>
      <c r="E69" s="50" t="s">
        <v>107</v>
      </c>
      <c r="F69" s="50" t="s">
        <v>107</v>
      </c>
      <c r="G69" s="50" t="s">
        <v>107</v>
      </c>
      <c r="H69" s="50" t="s">
        <v>107</v>
      </c>
      <c r="I69" s="50" t="s">
        <v>107</v>
      </c>
      <c r="J69" s="50" t="s">
        <v>107</v>
      </c>
      <c r="K69" s="50" t="s">
        <v>107</v>
      </c>
      <c r="L69" s="50" t="s">
        <v>107</v>
      </c>
      <c r="M69" s="50" t="s">
        <v>107</v>
      </c>
      <c r="N69" s="50" t="s">
        <v>107</v>
      </c>
      <c r="O69" s="50" t="s">
        <v>107</v>
      </c>
      <c r="P69" s="50" t="s">
        <v>107</v>
      </c>
      <c r="Q69" s="53" t="s">
        <v>107</v>
      </c>
    </row>
    <row r="70" spans="1:17" x14ac:dyDescent="0.35">
      <c r="A70">
        <v>6800</v>
      </c>
      <c r="B70" s="46" t="s">
        <v>107</v>
      </c>
      <c r="C70" s="50" t="s">
        <v>107</v>
      </c>
      <c r="D70" s="50" t="s">
        <v>107</v>
      </c>
      <c r="E70" s="50" t="s">
        <v>107</v>
      </c>
      <c r="F70" s="50" t="s">
        <v>107</v>
      </c>
      <c r="G70" s="50" t="s">
        <v>107</v>
      </c>
      <c r="H70" s="50" t="s">
        <v>107</v>
      </c>
      <c r="I70" s="50" t="s">
        <v>107</v>
      </c>
      <c r="J70" s="50" t="s">
        <v>107</v>
      </c>
      <c r="K70" s="50" t="s">
        <v>107</v>
      </c>
      <c r="L70" s="50" t="s">
        <v>107</v>
      </c>
      <c r="M70" s="50" t="s">
        <v>107</v>
      </c>
      <c r="N70" s="50" t="s">
        <v>107</v>
      </c>
      <c r="O70" s="50" t="s">
        <v>107</v>
      </c>
      <c r="P70" s="50" t="s">
        <v>107</v>
      </c>
      <c r="Q70" s="53" t="s">
        <v>107</v>
      </c>
    </row>
    <row r="71" spans="1:17" x14ac:dyDescent="0.35">
      <c r="A71">
        <v>7000</v>
      </c>
      <c r="B71" s="48" t="s">
        <v>107</v>
      </c>
      <c r="C71" s="51" t="s">
        <v>107</v>
      </c>
      <c r="D71" s="51" t="s">
        <v>107</v>
      </c>
      <c r="E71" s="51" t="s">
        <v>107</v>
      </c>
      <c r="F71" s="51" t="s">
        <v>107</v>
      </c>
      <c r="G71" s="51" t="s">
        <v>107</v>
      </c>
      <c r="H71" s="51" t="s">
        <v>107</v>
      </c>
      <c r="I71" s="51" t="s">
        <v>107</v>
      </c>
      <c r="J71" s="51" t="s">
        <v>107</v>
      </c>
      <c r="K71" s="51" t="s">
        <v>107</v>
      </c>
      <c r="L71" s="51" t="s">
        <v>107</v>
      </c>
      <c r="M71" s="51" t="s">
        <v>107</v>
      </c>
      <c r="N71" s="51" t="s">
        <v>107</v>
      </c>
      <c r="O71" s="51" t="s">
        <v>107</v>
      </c>
      <c r="P71" s="51" t="s">
        <v>107</v>
      </c>
      <c r="Q71" s="54" t="s">
        <v>107</v>
      </c>
    </row>
    <row r="73" spans="1:17" x14ac:dyDescent="0.35">
      <c r="A73" s="43" t="s">
        <v>82</v>
      </c>
      <c r="B73" s="42">
        <v>1500</v>
      </c>
      <c r="C73" s="42">
        <v>1600</v>
      </c>
      <c r="D73" s="42">
        <v>1700</v>
      </c>
      <c r="E73" s="42">
        <v>1800</v>
      </c>
      <c r="F73" s="42">
        <v>1900</v>
      </c>
      <c r="G73" s="42">
        <v>2000</v>
      </c>
      <c r="H73" s="42">
        <v>2100</v>
      </c>
      <c r="I73" s="42">
        <v>2200</v>
      </c>
      <c r="J73" s="42">
        <v>2300</v>
      </c>
      <c r="K73" s="42">
        <v>2400</v>
      </c>
      <c r="L73" s="42">
        <v>2500</v>
      </c>
      <c r="M73" s="42">
        <v>2600</v>
      </c>
      <c r="N73" s="42">
        <v>2700</v>
      </c>
      <c r="O73" s="42">
        <v>2800</v>
      </c>
      <c r="P73" s="42">
        <v>2900</v>
      </c>
      <c r="Q73" s="42">
        <v>3000</v>
      </c>
    </row>
    <row r="74" spans="1:17" x14ac:dyDescent="0.35">
      <c r="A74">
        <v>3000</v>
      </c>
      <c r="B74" s="45" t="s">
        <v>107</v>
      </c>
      <c r="C74" s="49" t="s">
        <v>107</v>
      </c>
      <c r="D74" s="49" t="s">
        <v>107</v>
      </c>
      <c r="E74" s="49" t="s">
        <v>107</v>
      </c>
      <c r="F74" s="49" t="s">
        <v>107</v>
      </c>
      <c r="G74" s="49" t="s">
        <v>107</v>
      </c>
      <c r="H74" s="49" t="s">
        <v>107</v>
      </c>
      <c r="I74" s="49" t="s">
        <v>107</v>
      </c>
      <c r="J74" s="49" t="s">
        <v>107</v>
      </c>
      <c r="K74" s="49" t="s">
        <v>107</v>
      </c>
      <c r="L74" s="49" t="s">
        <v>107</v>
      </c>
      <c r="M74" s="49" t="s">
        <v>107</v>
      </c>
      <c r="N74" s="49" t="s">
        <v>107</v>
      </c>
      <c r="O74" s="49" t="s">
        <v>107</v>
      </c>
      <c r="P74" s="49" t="s">
        <v>107</v>
      </c>
      <c r="Q74" s="52" t="s">
        <v>107</v>
      </c>
    </row>
    <row r="75" spans="1:17" x14ac:dyDescent="0.35">
      <c r="A75">
        <v>3200</v>
      </c>
      <c r="B75" s="46" t="s">
        <v>107</v>
      </c>
      <c r="C75" s="50" t="s">
        <v>107</v>
      </c>
      <c r="D75" s="50" t="s">
        <v>107</v>
      </c>
      <c r="E75" s="50" t="s">
        <v>107</v>
      </c>
      <c r="F75" s="50" t="s">
        <v>107</v>
      </c>
      <c r="G75" s="50" t="s">
        <v>107</v>
      </c>
      <c r="H75" s="50" t="s">
        <v>107</v>
      </c>
      <c r="I75" s="50" t="s">
        <v>107</v>
      </c>
      <c r="J75" s="50" t="s">
        <v>107</v>
      </c>
      <c r="K75" s="50" t="s">
        <v>107</v>
      </c>
      <c r="L75" s="50" t="s">
        <v>107</v>
      </c>
      <c r="M75" s="50" t="s">
        <v>107</v>
      </c>
      <c r="N75" s="50" t="s">
        <v>107</v>
      </c>
      <c r="O75" s="50" t="s">
        <v>107</v>
      </c>
      <c r="P75" s="50" t="s">
        <v>107</v>
      </c>
      <c r="Q75" s="53" t="s">
        <v>107</v>
      </c>
    </row>
    <row r="76" spans="1:17" x14ac:dyDescent="0.35">
      <c r="A76">
        <v>3400</v>
      </c>
      <c r="B76" s="46" t="s">
        <v>107</v>
      </c>
      <c r="C76" s="50" t="s">
        <v>107</v>
      </c>
      <c r="D76" s="50" t="s">
        <v>107</v>
      </c>
      <c r="E76" s="50" t="s">
        <v>107</v>
      </c>
      <c r="F76" s="50" t="s">
        <v>107</v>
      </c>
      <c r="G76" s="50" t="s">
        <v>107</v>
      </c>
      <c r="H76" s="50" t="s">
        <v>107</v>
      </c>
      <c r="I76" s="50" t="s">
        <v>107</v>
      </c>
      <c r="J76" s="50" t="s">
        <v>107</v>
      </c>
      <c r="K76" s="50" t="s">
        <v>107</v>
      </c>
      <c r="L76" s="50" t="s">
        <v>107</v>
      </c>
      <c r="M76" s="50" t="s">
        <v>107</v>
      </c>
      <c r="N76" s="50" t="s">
        <v>107</v>
      </c>
      <c r="O76" s="50" t="s">
        <v>107</v>
      </c>
      <c r="P76" s="50" t="s">
        <v>107</v>
      </c>
      <c r="Q76" s="53" t="s">
        <v>107</v>
      </c>
    </row>
    <row r="77" spans="1:17" x14ac:dyDescent="0.35">
      <c r="A77">
        <v>3600</v>
      </c>
      <c r="B77" s="46" t="s">
        <v>107</v>
      </c>
      <c r="C77" s="50" t="s">
        <v>107</v>
      </c>
      <c r="D77" s="50" t="s">
        <v>107</v>
      </c>
      <c r="E77" s="50" t="s">
        <v>107</v>
      </c>
      <c r="F77" s="50" t="s">
        <v>107</v>
      </c>
      <c r="G77" s="50" t="s">
        <v>107</v>
      </c>
      <c r="H77" s="50" t="s">
        <v>107</v>
      </c>
      <c r="I77" s="50" t="s">
        <v>107</v>
      </c>
      <c r="J77" s="50" t="s">
        <v>107</v>
      </c>
      <c r="K77" s="50" t="s">
        <v>107</v>
      </c>
      <c r="L77" s="50" t="s">
        <v>107</v>
      </c>
      <c r="M77" s="50" t="s">
        <v>107</v>
      </c>
      <c r="N77" s="50" t="s">
        <v>107</v>
      </c>
      <c r="O77" s="50" t="s">
        <v>107</v>
      </c>
      <c r="P77" s="50" t="s">
        <v>107</v>
      </c>
      <c r="Q77" s="53" t="s">
        <v>107</v>
      </c>
    </row>
    <row r="78" spans="1:17" x14ac:dyDescent="0.35">
      <c r="A78">
        <v>3800</v>
      </c>
      <c r="B78" s="46" t="s">
        <v>107</v>
      </c>
      <c r="C78" s="50" t="s">
        <v>107</v>
      </c>
      <c r="D78" s="50" t="s">
        <v>107</v>
      </c>
      <c r="E78" s="50" t="s">
        <v>107</v>
      </c>
      <c r="F78" s="50" t="s">
        <v>107</v>
      </c>
      <c r="G78" s="50" t="s">
        <v>107</v>
      </c>
      <c r="H78" s="50" t="s">
        <v>107</v>
      </c>
      <c r="I78" s="50" t="s">
        <v>107</v>
      </c>
      <c r="J78" s="50" t="s">
        <v>107</v>
      </c>
      <c r="K78" s="50" t="s">
        <v>107</v>
      </c>
      <c r="L78" s="50" t="s">
        <v>107</v>
      </c>
      <c r="M78" s="50" t="s">
        <v>107</v>
      </c>
      <c r="N78" s="50" t="s">
        <v>107</v>
      </c>
      <c r="O78" s="50" t="s">
        <v>107</v>
      </c>
      <c r="P78" s="50" t="s">
        <v>107</v>
      </c>
      <c r="Q78" s="53" t="s">
        <v>107</v>
      </c>
    </row>
    <row r="79" spans="1:17" x14ac:dyDescent="0.35">
      <c r="A79">
        <v>4000</v>
      </c>
      <c r="B79" s="46" t="s">
        <v>107</v>
      </c>
      <c r="C79" s="50" t="s">
        <v>107</v>
      </c>
      <c r="D79" s="50" t="s">
        <v>107</v>
      </c>
      <c r="E79" s="50" t="s">
        <v>107</v>
      </c>
      <c r="F79" s="50" t="s">
        <v>107</v>
      </c>
      <c r="G79" s="50" t="s">
        <v>107</v>
      </c>
      <c r="H79" s="50" t="s">
        <v>107</v>
      </c>
      <c r="I79" s="50" t="s">
        <v>107</v>
      </c>
      <c r="J79" s="50" t="s">
        <v>107</v>
      </c>
      <c r="K79" s="50" t="s">
        <v>107</v>
      </c>
      <c r="L79" s="50" t="s">
        <v>107</v>
      </c>
      <c r="M79" s="50" t="s">
        <v>107</v>
      </c>
      <c r="N79" s="50" t="s">
        <v>107</v>
      </c>
      <c r="O79" s="50" t="s">
        <v>107</v>
      </c>
      <c r="P79" s="50" t="s">
        <v>107</v>
      </c>
      <c r="Q79" s="53" t="s">
        <v>107</v>
      </c>
    </row>
    <row r="80" spans="1:17" x14ac:dyDescent="0.35">
      <c r="A80">
        <v>4200</v>
      </c>
      <c r="B80" s="46" t="s">
        <v>107</v>
      </c>
      <c r="C80" s="50" t="s">
        <v>107</v>
      </c>
      <c r="D80" s="50" t="s">
        <v>107</v>
      </c>
      <c r="E80" s="50" t="s">
        <v>107</v>
      </c>
      <c r="F80" s="50" t="s">
        <v>107</v>
      </c>
      <c r="G80" s="50" t="s">
        <v>107</v>
      </c>
      <c r="H80" s="50" t="s">
        <v>107</v>
      </c>
      <c r="I80" s="50" t="s">
        <v>107</v>
      </c>
      <c r="J80" s="50" t="s">
        <v>107</v>
      </c>
      <c r="K80" s="50" t="s">
        <v>107</v>
      </c>
      <c r="L80" s="50" t="s">
        <v>107</v>
      </c>
      <c r="M80" s="50" t="s">
        <v>107</v>
      </c>
      <c r="N80" s="50" t="s">
        <v>107</v>
      </c>
      <c r="O80" s="50" t="s">
        <v>107</v>
      </c>
      <c r="P80" s="50" t="s">
        <v>107</v>
      </c>
      <c r="Q80" s="53" t="s">
        <v>107</v>
      </c>
    </row>
    <row r="81" spans="1:17" x14ac:dyDescent="0.35">
      <c r="A81">
        <v>4400</v>
      </c>
      <c r="B81" s="46" t="s">
        <v>107</v>
      </c>
      <c r="C81" s="50" t="s">
        <v>107</v>
      </c>
      <c r="D81" s="50" t="s">
        <v>107</v>
      </c>
      <c r="E81" s="50" t="s">
        <v>107</v>
      </c>
      <c r="F81" s="50" t="s">
        <v>107</v>
      </c>
      <c r="G81" s="50" t="s">
        <v>107</v>
      </c>
      <c r="H81" s="50" t="s">
        <v>107</v>
      </c>
      <c r="I81" s="50" t="s">
        <v>107</v>
      </c>
      <c r="J81" s="50" t="s">
        <v>107</v>
      </c>
      <c r="K81" s="50" t="s">
        <v>107</v>
      </c>
      <c r="L81" s="50" t="s">
        <v>107</v>
      </c>
      <c r="M81" s="50" t="s">
        <v>107</v>
      </c>
      <c r="N81" s="50" t="s">
        <v>107</v>
      </c>
      <c r="O81" s="50" t="s">
        <v>107</v>
      </c>
      <c r="P81" s="50" t="s">
        <v>107</v>
      </c>
      <c r="Q81" s="53" t="s">
        <v>107</v>
      </c>
    </row>
    <row r="82" spans="1:17" x14ac:dyDescent="0.35">
      <c r="A82">
        <v>4600</v>
      </c>
      <c r="B82" s="46" t="s">
        <v>107</v>
      </c>
      <c r="C82" s="50" t="s">
        <v>107</v>
      </c>
      <c r="D82" s="50" t="s">
        <v>107</v>
      </c>
      <c r="E82" s="50" t="s">
        <v>107</v>
      </c>
      <c r="F82" s="50" t="s">
        <v>107</v>
      </c>
      <c r="G82" s="50" t="s">
        <v>107</v>
      </c>
      <c r="H82" s="50" t="s">
        <v>107</v>
      </c>
      <c r="I82" s="50" t="s">
        <v>107</v>
      </c>
      <c r="J82" s="50" t="s">
        <v>107</v>
      </c>
      <c r="K82" s="50" t="s">
        <v>107</v>
      </c>
      <c r="L82" s="50" t="s">
        <v>107</v>
      </c>
      <c r="M82" s="50" t="s">
        <v>107</v>
      </c>
      <c r="N82" s="50" t="s">
        <v>107</v>
      </c>
      <c r="O82" s="50" t="s">
        <v>107</v>
      </c>
      <c r="P82" s="50" t="s">
        <v>107</v>
      </c>
      <c r="Q82" s="53" t="s">
        <v>107</v>
      </c>
    </row>
    <row r="83" spans="1:17" x14ac:dyDescent="0.35">
      <c r="A83">
        <v>4800</v>
      </c>
      <c r="B83" s="46" t="s">
        <v>107</v>
      </c>
      <c r="C83" s="50" t="s">
        <v>107</v>
      </c>
      <c r="D83" s="50" t="s">
        <v>107</v>
      </c>
      <c r="E83" s="50" t="s">
        <v>107</v>
      </c>
      <c r="F83" s="50" t="s">
        <v>107</v>
      </c>
      <c r="G83" s="50" t="s">
        <v>107</v>
      </c>
      <c r="H83" s="50" t="s">
        <v>107</v>
      </c>
      <c r="I83" s="50" t="s">
        <v>107</v>
      </c>
      <c r="J83" s="50" t="s">
        <v>107</v>
      </c>
      <c r="K83" s="50" t="s">
        <v>107</v>
      </c>
      <c r="L83" s="50" t="s">
        <v>107</v>
      </c>
      <c r="M83" s="50" t="s">
        <v>107</v>
      </c>
      <c r="N83" s="50" t="s">
        <v>107</v>
      </c>
      <c r="O83" s="50" t="s">
        <v>107</v>
      </c>
      <c r="P83" s="50" t="s">
        <v>107</v>
      </c>
      <c r="Q83" s="53" t="s">
        <v>107</v>
      </c>
    </row>
    <row r="84" spans="1:17" x14ac:dyDescent="0.35">
      <c r="A84">
        <v>5000</v>
      </c>
      <c r="B84" s="46" t="s">
        <v>107</v>
      </c>
      <c r="C84" s="50" t="s">
        <v>107</v>
      </c>
      <c r="D84" s="50" t="s">
        <v>107</v>
      </c>
      <c r="E84" s="50" t="s">
        <v>107</v>
      </c>
      <c r="F84" s="50" t="s">
        <v>107</v>
      </c>
      <c r="G84" s="50" t="s">
        <v>107</v>
      </c>
      <c r="H84" s="50" t="s">
        <v>107</v>
      </c>
      <c r="I84" s="50" t="s">
        <v>107</v>
      </c>
      <c r="J84" s="50" t="s">
        <v>107</v>
      </c>
      <c r="K84" s="50" t="s">
        <v>107</v>
      </c>
      <c r="L84" s="50" t="s">
        <v>107</v>
      </c>
      <c r="M84" s="50" t="s">
        <v>107</v>
      </c>
      <c r="N84" s="50" t="s">
        <v>107</v>
      </c>
      <c r="O84" s="50" t="s">
        <v>107</v>
      </c>
      <c r="P84" s="50" t="s">
        <v>107</v>
      </c>
      <c r="Q84" s="53" t="s">
        <v>107</v>
      </c>
    </row>
    <row r="85" spans="1:17" x14ac:dyDescent="0.35">
      <c r="A85">
        <v>5200</v>
      </c>
      <c r="B85" s="24">
        <v>70714.399999999994</v>
      </c>
      <c r="C85" s="41">
        <v>70714.399999999994</v>
      </c>
      <c r="D85" s="41">
        <v>70714.399999999994</v>
      </c>
      <c r="E85" s="41">
        <v>70714.399999999994</v>
      </c>
      <c r="F85" s="41">
        <v>70714.399999999994</v>
      </c>
      <c r="G85" s="41">
        <v>70714.399999999994</v>
      </c>
      <c r="H85" s="41">
        <v>70714.399999999994</v>
      </c>
      <c r="I85" s="41">
        <v>70714.399999999994</v>
      </c>
      <c r="J85" s="41">
        <v>70714.399999999994</v>
      </c>
      <c r="K85" s="41">
        <v>70714.399999999994</v>
      </c>
      <c r="L85" s="41">
        <v>70714.399999999994</v>
      </c>
      <c r="M85" s="41">
        <v>70714.399999999994</v>
      </c>
      <c r="N85" s="41">
        <v>70714.399999999994</v>
      </c>
      <c r="O85" s="41">
        <v>70714.399999999994</v>
      </c>
      <c r="P85" s="41">
        <v>70714.399999999994</v>
      </c>
      <c r="Q85" s="56">
        <v>70714.399999999994</v>
      </c>
    </row>
    <row r="86" spans="1:17" x14ac:dyDescent="0.35">
      <c r="A86">
        <v>5400</v>
      </c>
      <c r="B86" s="24">
        <v>71076</v>
      </c>
      <c r="C86" s="41">
        <v>71076</v>
      </c>
      <c r="D86" s="41">
        <v>71076</v>
      </c>
      <c r="E86" s="41">
        <v>71076</v>
      </c>
      <c r="F86" s="41">
        <v>71076</v>
      </c>
      <c r="G86" s="41">
        <v>71076</v>
      </c>
      <c r="H86" s="41">
        <v>71076</v>
      </c>
      <c r="I86" s="41">
        <v>71076</v>
      </c>
      <c r="J86" s="41">
        <v>71076</v>
      </c>
      <c r="K86" s="41">
        <v>71076</v>
      </c>
      <c r="L86" s="41">
        <v>71076</v>
      </c>
      <c r="M86" s="41">
        <v>71076</v>
      </c>
      <c r="N86" s="41">
        <v>71076</v>
      </c>
      <c r="O86" s="41">
        <v>71076</v>
      </c>
      <c r="P86" s="41">
        <v>71076</v>
      </c>
      <c r="Q86" s="56">
        <v>71076</v>
      </c>
    </row>
    <row r="87" spans="1:17" x14ac:dyDescent="0.35">
      <c r="A87">
        <v>5600</v>
      </c>
      <c r="B87" s="46" t="s">
        <v>107</v>
      </c>
      <c r="C87" s="50" t="s">
        <v>107</v>
      </c>
      <c r="D87" s="50" t="s">
        <v>107</v>
      </c>
      <c r="E87" s="50" t="s">
        <v>107</v>
      </c>
      <c r="F87" s="50" t="s">
        <v>107</v>
      </c>
      <c r="G87" s="50" t="s">
        <v>107</v>
      </c>
      <c r="H87" s="50" t="s">
        <v>107</v>
      </c>
      <c r="I87" s="50" t="s">
        <v>107</v>
      </c>
      <c r="J87" s="50" t="s">
        <v>107</v>
      </c>
      <c r="K87" s="50" t="s">
        <v>107</v>
      </c>
      <c r="L87" s="50" t="s">
        <v>107</v>
      </c>
      <c r="M87" s="50" t="s">
        <v>107</v>
      </c>
      <c r="N87" s="50" t="s">
        <v>107</v>
      </c>
      <c r="O87" s="50" t="s">
        <v>107</v>
      </c>
      <c r="P87" s="50" t="s">
        <v>107</v>
      </c>
      <c r="Q87" s="53" t="s">
        <v>107</v>
      </c>
    </row>
    <row r="88" spans="1:17" x14ac:dyDescent="0.35">
      <c r="A88">
        <v>5800</v>
      </c>
      <c r="B88" s="46" t="s">
        <v>107</v>
      </c>
      <c r="C88" s="50" t="s">
        <v>107</v>
      </c>
      <c r="D88" s="50" t="s">
        <v>107</v>
      </c>
      <c r="E88" s="50" t="s">
        <v>107</v>
      </c>
      <c r="F88" s="50" t="s">
        <v>107</v>
      </c>
      <c r="G88" s="50" t="s">
        <v>107</v>
      </c>
      <c r="H88" s="50" t="s">
        <v>107</v>
      </c>
      <c r="I88" s="50" t="s">
        <v>107</v>
      </c>
      <c r="J88" s="50" t="s">
        <v>107</v>
      </c>
      <c r="K88" s="50" t="s">
        <v>107</v>
      </c>
      <c r="L88" s="50" t="s">
        <v>107</v>
      </c>
      <c r="M88" s="50" t="s">
        <v>107</v>
      </c>
      <c r="N88" s="50" t="s">
        <v>107</v>
      </c>
      <c r="O88" s="50" t="s">
        <v>107</v>
      </c>
      <c r="P88" s="50" t="s">
        <v>107</v>
      </c>
      <c r="Q88" s="53" t="s">
        <v>107</v>
      </c>
    </row>
    <row r="89" spans="1:17" x14ac:dyDescent="0.35">
      <c r="A89">
        <v>6000</v>
      </c>
      <c r="B89" s="46" t="s">
        <v>107</v>
      </c>
      <c r="C89" s="50" t="s">
        <v>107</v>
      </c>
      <c r="D89" s="50" t="s">
        <v>107</v>
      </c>
      <c r="E89" s="50" t="s">
        <v>107</v>
      </c>
      <c r="F89" s="50" t="s">
        <v>107</v>
      </c>
      <c r="G89" s="50" t="s">
        <v>107</v>
      </c>
      <c r="H89" s="50" t="s">
        <v>107</v>
      </c>
      <c r="I89" s="50" t="s">
        <v>107</v>
      </c>
      <c r="J89" s="50" t="s">
        <v>107</v>
      </c>
      <c r="K89" s="50" t="s">
        <v>107</v>
      </c>
      <c r="L89" s="50" t="s">
        <v>107</v>
      </c>
      <c r="M89" s="50" t="s">
        <v>107</v>
      </c>
      <c r="N89" s="50" t="s">
        <v>107</v>
      </c>
      <c r="O89" s="50" t="s">
        <v>107</v>
      </c>
      <c r="P89" s="50" t="s">
        <v>107</v>
      </c>
      <c r="Q89" s="53" t="s">
        <v>107</v>
      </c>
    </row>
    <row r="90" spans="1:17" x14ac:dyDescent="0.35">
      <c r="A90">
        <v>6200</v>
      </c>
      <c r="B90" s="46" t="s">
        <v>107</v>
      </c>
      <c r="C90" s="50" t="s">
        <v>107</v>
      </c>
      <c r="D90" s="50" t="s">
        <v>107</v>
      </c>
      <c r="E90" s="50" t="s">
        <v>107</v>
      </c>
      <c r="F90" s="50" t="s">
        <v>107</v>
      </c>
      <c r="G90" s="50" t="s">
        <v>107</v>
      </c>
      <c r="H90" s="50" t="s">
        <v>107</v>
      </c>
      <c r="I90" s="50" t="s">
        <v>107</v>
      </c>
      <c r="J90" s="50" t="s">
        <v>107</v>
      </c>
      <c r="K90" s="50" t="s">
        <v>107</v>
      </c>
      <c r="L90" s="50" t="s">
        <v>107</v>
      </c>
      <c r="M90" s="50" t="s">
        <v>107</v>
      </c>
      <c r="N90" s="50" t="s">
        <v>107</v>
      </c>
      <c r="O90" s="50" t="s">
        <v>107</v>
      </c>
      <c r="P90" s="50" t="s">
        <v>107</v>
      </c>
      <c r="Q90" s="53" t="s">
        <v>107</v>
      </c>
    </row>
    <row r="91" spans="1:17" x14ac:dyDescent="0.35">
      <c r="A91">
        <v>6400</v>
      </c>
      <c r="B91" s="46" t="s">
        <v>107</v>
      </c>
      <c r="C91" s="50" t="s">
        <v>107</v>
      </c>
      <c r="D91" s="50" t="s">
        <v>107</v>
      </c>
      <c r="E91" s="50" t="s">
        <v>107</v>
      </c>
      <c r="F91" s="50" t="s">
        <v>107</v>
      </c>
      <c r="G91" s="50" t="s">
        <v>107</v>
      </c>
      <c r="H91" s="50" t="s">
        <v>107</v>
      </c>
      <c r="I91" s="50" t="s">
        <v>107</v>
      </c>
      <c r="J91" s="50" t="s">
        <v>107</v>
      </c>
      <c r="K91" s="50" t="s">
        <v>107</v>
      </c>
      <c r="L91" s="50" t="s">
        <v>107</v>
      </c>
      <c r="M91" s="50" t="s">
        <v>107</v>
      </c>
      <c r="N91" s="50" t="s">
        <v>107</v>
      </c>
      <c r="O91" s="50" t="s">
        <v>107</v>
      </c>
      <c r="P91" s="50" t="s">
        <v>107</v>
      </c>
      <c r="Q91" s="53" t="s">
        <v>107</v>
      </c>
    </row>
    <row r="92" spans="1:17" x14ac:dyDescent="0.35">
      <c r="A92">
        <v>6600</v>
      </c>
      <c r="B92" s="46" t="s">
        <v>107</v>
      </c>
      <c r="C92" s="50" t="s">
        <v>107</v>
      </c>
      <c r="D92" s="50" t="s">
        <v>107</v>
      </c>
      <c r="E92" s="50" t="s">
        <v>107</v>
      </c>
      <c r="F92" s="50" t="s">
        <v>107</v>
      </c>
      <c r="G92" s="50" t="s">
        <v>107</v>
      </c>
      <c r="H92" s="50" t="s">
        <v>107</v>
      </c>
      <c r="I92" s="50" t="s">
        <v>107</v>
      </c>
      <c r="J92" s="50" t="s">
        <v>107</v>
      </c>
      <c r="K92" s="50" t="s">
        <v>107</v>
      </c>
      <c r="L92" s="50" t="s">
        <v>107</v>
      </c>
      <c r="M92" s="50" t="s">
        <v>107</v>
      </c>
      <c r="N92" s="50" t="s">
        <v>107</v>
      </c>
      <c r="O92" s="50" t="s">
        <v>107</v>
      </c>
      <c r="P92" s="50" t="s">
        <v>107</v>
      </c>
      <c r="Q92" s="53" t="s">
        <v>107</v>
      </c>
    </row>
    <row r="93" spans="1:17" x14ac:dyDescent="0.35">
      <c r="A93">
        <v>6800</v>
      </c>
      <c r="B93" s="46" t="s">
        <v>107</v>
      </c>
      <c r="C93" s="50" t="s">
        <v>107</v>
      </c>
      <c r="D93" s="50" t="s">
        <v>107</v>
      </c>
      <c r="E93" s="50" t="s">
        <v>107</v>
      </c>
      <c r="F93" s="50" t="s">
        <v>107</v>
      </c>
      <c r="G93" s="50" t="s">
        <v>107</v>
      </c>
      <c r="H93" s="50" t="s">
        <v>107</v>
      </c>
      <c r="I93" s="50" t="s">
        <v>107</v>
      </c>
      <c r="J93" s="50" t="s">
        <v>107</v>
      </c>
      <c r="K93" s="50" t="s">
        <v>107</v>
      </c>
      <c r="L93" s="50" t="s">
        <v>107</v>
      </c>
      <c r="M93" s="50" t="s">
        <v>107</v>
      </c>
      <c r="N93" s="50" t="s">
        <v>107</v>
      </c>
      <c r="O93" s="50" t="s">
        <v>107</v>
      </c>
      <c r="P93" s="50" t="s">
        <v>107</v>
      </c>
      <c r="Q93" s="53" t="s">
        <v>107</v>
      </c>
    </row>
    <row r="94" spans="1:17" x14ac:dyDescent="0.35">
      <c r="A94">
        <v>7000</v>
      </c>
      <c r="B94" s="48" t="s">
        <v>107</v>
      </c>
      <c r="C94" s="51" t="s">
        <v>107</v>
      </c>
      <c r="D94" s="51" t="s">
        <v>107</v>
      </c>
      <c r="E94" s="51" t="s">
        <v>107</v>
      </c>
      <c r="F94" s="51" t="s">
        <v>107</v>
      </c>
      <c r="G94" s="51" t="s">
        <v>107</v>
      </c>
      <c r="H94" s="51" t="s">
        <v>107</v>
      </c>
      <c r="I94" s="51" t="s">
        <v>107</v>
      </c>
      <c r="J94" s="51" t="s">
        <v>107</v>
      </c>
      <c r="K94" s="51" t="s">
        <v>107</v>
      </c>
      <c r="L94" s="51" t="s">
        <v>107</v>
      </c>
      <c r="M94" s="51" t="s">
        <v>107</v>
      </c>
      <c r="N94" s="51" t="s">
        <v>107</v>
      </c>
      <c r="O94" s="51" t="s">
        <v>107</v>
      </c>
      <c r="P94" s="51" t="s">
        <v>107</v>
      </c>
      <c r="Q94" s="54" t="s">
        <v>107</v>
      </c>
    </row>
    <row r="96" spans="1:17" x14ac:dyDescent="0.35">
      <c r="A96" s="43" t="s">
        <v>55</v>
      </c>
      <c r="B96" s="42">
        <v>1500</v>
      </c>
      <c r="C96" s="42">
        <v>1600</v>
      </c>
      <c r="D96" s="42">
        <v>1700</v>
      </c>
      <c r="E96" s="42">
        <v>1800</v>
      </c>
      <c r="F96" s="42">
        <v>1900</v>
      </c>
      <c r="G96" s="42">
        <v>2000</v>
      </c>
      <c r="H96" s="42">
        <v>2100</v>
      </c>
      <c r="I96" s="42">
        <v>2200</v>
      </c>
      <c r="J96" s="42">
        <v>2300</v>
      </c>
      <c r="K96" s="42">
        <v>2400</v>
      </c>
      <c r="L96" s="42">
        <v>2500</v>
      </c>
      <c r="M96" s="42">
        <v>2600</v>
      </c>
      <c r="N96" s="42">
        <v>2700</v>
      </c>
      <c r="O96" s="42">
        <v>2800</v>
      </c>
      <c r="P96" s="42">
        <v>2900</v>
      </c>
      <c r="Q96" s="42">
        <v>3000</v>
      </c>
    </row>
    <row r="97" spans="1:17" x14ac:dyDescent="0.35">
      <c r="A97">
        <v>3000</v>
      </c>
      <c r="B97" s="45" t="s">
        <v>107</v>
      </c>
      <c r="C97" s="49" t="s">
        <v>107</v>
      </c>
      <c r="D97" s="49" t="s">
        <v>107</v>
      </c>
      <c r="E97" s="49" t="s">
        <v>107</v>
      </c>
      <c r="F97" s="49" t="s">
        <v>107</v>
      </c>
      <c r="G97" s="49" t="s">
        <v>107</v>
      </c>
      <c r="H97" s="49" t="s">
        <v>107</v>
      </c>
      <c r="I97" s="49" t="s">
        <v>107</v>
      </c>
      <c r="J97" s="49" t="s">
        <v>107</v>
      </c>
      <c r="K97" s="49" t="s">
        <v>107</v>
      </c>
      <c r="L97" s="49" t="s">
        <v>107</v>
      </c>
      <c r="M97" s="49" t="s">
        <v>107</v>
      </c>
      <c r="N97" s="49" t="s">
        <v>107</v>
      </c>
      <c r="O97" s="49" t="s">
        <v>107</v>
      </c>
      <c r="P97" s="49" t="s">
        <v>107</v>
      </c>
      <c r="Q97" s="52" t="s">
        <v>107</v>
      </c>
    </row>
    <row r="98" spans="1:17" x14ac:dyDescent="0.35">
      <c r="A98">
        <v>3200</v>
      </c>
      <c r="B98" s="46" t="s">
        <v>107</v>
      </c>
      <c r="C98" s="50" t="s">
        <v>107</v>
      </c>
      <c r="D98" s="50" t="s">
        <v>107</v>
      </c>
      <c r="E98" s="50" t="s">
        <v>107</v>
      </c>
      <c r="F98" s="50" t="s">
        <v>107</v>
      </c>
      <c r="G98" s="50" t="s">
        <v>107</v>
      </c>
      <c r="H98" s="50" t="s">
        <v>107</v>
      </c>
      <c r="I98" s="50" t="s">
        <v>107</v>
      </c>
      <c r="J98" s="50" t="s">
        <v>107</v>
      </c>
      <c r="K98" s="50" t="s">
        <v>107</v>
      </c>
      <c r="L98" s="50" t="s">
        <v>107</v>
      </c>
      <c r="M98" s="50" t="s">
        <v>107</v>
      </c>
      <c r="N98" s="50" t="s">
        <v>107</v>
      </c>
      <c r="O98" s="50" t="s">
        <v>107</v>
      </c>
      <c r="P98" s="50" t="s">
        <v>107</v>
      </c>
      <c r="Q98" s="53" t="s">
        <v>107</v>
      </c>
    </row>
    <row r="99" spans="1:17" x14ac:dyDescent="0.35">
      <c r="A99">
        <v>3400</v>
      </c>
      <c r="B99" s="46" t="s">
        <v>107</v>
      </c>
      <c r="C99" s="50" t="s">
        <v>107</v>
      </c>
      <c r="D99" s="50" t="s">
        <v>107</v>
      </c>
      <c r="E99" s="50" t="s">
        <v>107</v>
      </c>
      <c r="F99" s="50" t="s">
        <v>107</v>
      </c>
      <c r="G99" s="50" t="s">
        <v>107</v>
      </c>
      <c r="H99" s="50" t="s">
        <v>107</v>
      </c>
      <c r="I99" s="50" t="s">
        <v>107</v>
      </c>
      <c r="J99" s="50" t="s">
        <v>107</v>
      </c>
      <c r="K99" s="50" t="s">
        <v>107</v>
      </c>
      <c r="L99" s="50" t="s">
        <v>107</v>
      </c>
      <c r="M99" s="50" t="s">
        <v>107</v>
      </c>
      <c r="N99" s="50" t="s">
        <v>107</v>
      </c>
      <c r="O99" s="50" t="s">
        <v>107</v>
      </c>
      <c r="P99" s="50" t="s">
        <v>107</v>
      </c>
      <c r="Q99" s="53" t="s">
        <v>107</v>
      </c>
    </row>
    <row r="100" spans="1:17" x14ac:dyDescent="0.35">
      <c r="A100">
        <v>3600</v>
      </c>
      <c r="B100" s="46" t="s">
        <v>107</v>
      </c>
      <c r="C100" s="50" t="s">
        <v>107</v>
      </c>
      <c r="D100" s="50" t="s">
        <v>107</v>
      </c>
      <c r="E100" s="50" t="s">
        <v>107</v>
      </c>
      <c r="F100" s="50" t="s">
        <v>107</v>
      </c>
      <c r="G100" s="50" t="s">
        <v>107</v>
      </c>
      <c r="H100" s="50" t="s">
        <v>107</v>
      </c>
      <c r="I100" s="50" t="s">
        <v>107</v>
      </c>
      <c r="J100" s="50" t="s">
        <v>107</v>
      </c>
      <c r="K100" s="50" t="s">
        <v>107</v>
      </c>
      <c r="L100" s="50" t="s">
        <v>107</v>
      </c>
      <c r="M100" s="50" t="s">
        <v>107</v>
      </c>
      <c r="N100" s="50" t="s">
        <v>107</v>
      </c>
      <c r="O100" s="50" t="s">
        <v>107</v>
      </c>
      <c r="P100" s="50" t="s">
        <v>107</v>
      </c>
      <c r="Q100" s="53" t="s">
        <v>107</v>
      </c>
    </row>
    <row r="101" spans="1:17" x14ac:dyDescent="0.35">
      <c r="A101">
        <v>3800</v>
      </c>
      <c r="B101" s="46" t="s">
        <v>107</v>
      </c>
      <c r="C101" s="50" t="s">
        <v>107</v>
      </c>
      <c r="D101" s="50" t="s">
        <v>107</v>
      </c>
      <c r="E101" s="50" t="s">
        <v>107</v>
      </c>
      <c r="F101" s="50" t="s">
        <v>107</v>
      </c>
      <c r="G101" s="50" t="s">
        <v>107</v>
      </c>
      <c r="H101" s="50" t="s">
        <v>107</v>
      </c>
      <c r="I101" s="50" t="s">
        <v>107</v>
      </c>
      <c r="J101" s="50" t="s">
        <v>107</v>
      </c>
      <c r="K101" s="50" t="s">
        <v>107</v>
      </c>
      <c r="L101" s="50" t="s">
        <v>107</v>
      </c>
      <c r="M101" s="50" t="s">
        <v>107</v>
      </c>
      <c r="N101" s="50" t="s">
        <v>107</v>
      </c>
      <c r="O101" s="50" t="s">
        <v>107</v>
      </c>
      <c r="P101" s="50" t="s">
        <v>107</v>
      </c>
      <c r="Q101" s="53" t="s">
        <v>107</v>
      </c>
    </row>
    <row r="102" spans="1:17" x14ac:dyDescent="0.35">
      <c r="A102">
        <v>4000</v>
      </c>
      <c r="B102" s="46" t="s">
        <v>107</v>
      </c>
      <c r="C102" s="50" t="s">
        <v>107</v>
      </c>
      <c r="D102" s="50" t="s">
        <v>107</v>
      </c>
      <c r="E102" s="50" t="s">
        <v>107</v>
      </c>
      <c r="F102" s="50" t="s">
        <v>107</v>
      </c>
      <c r="G102" s="50" t="s">
        <v>107</v>
      </c>
      <c r="H102" s="50" t="s">
        <v>107</v>
      </c>
      <c r="I102" s="50" t="s">
        <v>107</v>
      </c>
      <c r="J102" s="50" t="s">
        <v>107</v>
      </c>
      <c r="K102" s="50" t="s">
        <v>107</v>
      </c>
      <c r="L102" s="50" t="s">
        <v>107</v>
      </c>
      <c r="M102" s="50" t="s">
        <v>107</v>
      </c>
      <c r="N102" s="50" t="s">
        <v>107</v>
      </c>
      <c r="O102" s="50" t="s">
        <v>107</v>
      </c>
      <c r="P102" s="50" t="s">
        <v>107</v>
      </c>
      <c r="Q102" s="53" t="s">
        <v>107</v>
      </c>
    </row>
    <row r="103" spans="1:17" x14ac:dyDescent="0.35">
      <c r="A103">
        <v>4200</v>
      </c>
      <c r="B103" s="46" t="s">
        <v>107</v>
      </c>
      <c r="C103" s="50" t="s">
        <v>107</v>
      </c>
      <c r="D103" s="50" t="s">
        <v>107</v>
      </c>
      <c r="E103" s="50" t="s">
        <v>107</v>
      </c>
      <c r="F103" s="50" t="s">
        <v>107</v>
      </c>
      <c r="G103" s="50" t="s">
        <v>107</v>
      </c>
      <c r="H103" s="50" t="s">
        <v>107</v>
      </c>
      <c r="I103" s="50" t="s">
        <v>107</v>
      </c>
      <c r="J103" s="50" t="s">
        <v>107</v>
      </c>
      <c r="K103" s="50" t="s">
        <v>107</v>
      </c>
      <c r="L103" s="50" t="s">
        <v>107</v>
      </c>
      <c r="M103" s="50" t="s">
        <v>107</v>
      </c>
      <c r="N103" s="50" t="s">
        <v>107</v>
      </c>
      <c r="O103" s="50" t="s">
        <v>107</v>
      </c>
      <c r="P103" s="50" t="s">
        <v>107</v>
      </c>
      <c r="Q103" s="53" t="s">
        <v>107</v>
      </c>
    </row>
    <row r="104" spans="1:17" x14ac:dyDescent="0.35">
      <c r="A104">
        <v>4400</v>
      </c>
      <c r="B104" s="46" t="s">
        <v>107</v>
      </c>
      <c r="C104" s="50" t="s">
        <v>107</v>
      </c>
      <c r="D104" s="50" t="s">
        <v>107</v>
      </c>
      <c r="E104" s="50" t="s">
        <v>107</v>
      </c>
      <c r="F104" s="50" t="s">
        <v>107</v>
      </c>
      <c r="G104" s="50" t="s">
        <v>107</v>
      </c>
      <c r="H104" s="50" t="s">
        <v>107</v>
      </c>
      <c r="I104" s="50" t="s">
        <v>107</v>
      </c>
      <c r="J104" s="50" t="s">
        <v>107</v>
      </c>
      <c r="K104" s="50" t="s">
        <v>107</v>
      </c>
      <c r="L104" s="50" t="s">
        <v>107</v>
      </c>
      <c r="M104" s="50" t="s">
        <v>107</v>
      </c>
      <c r="N104" s="50" t="s">
        <v>107</v>
      </c>
      <c r="O104" s="50" t="s">
        <v>107</v>
      </c>
      <c r="P104" s="50" t="s">
        <v>107</v>
      </c>
      <c r="Q104" s="53" t="s">
        <v>107</v>
      </c>
    </row>
    <row r="105" spans="1:17" x14ac:dyDescent="0.35">
      <c r="A105">
        <v>4600</v>
      </c>
      <c r="B105" s="46" t="s">
        <v>107</v>
      </c>
      <c r="C105" s="50" t="s">
        <v>107</v>
      </c>
      <c r="D105" s="50" t="s">
        <v>107</v>
      </c>
      <c r="E105" s="50" t="s">
        <v>107</v>
      </c>
      <c r="F105" s="50" t="s">
        <v>107</v>
      </c>
      <c r="G105" s="50" t="s">
        <v>107</v>
      </c>
      <c r="H105" s="50" t="s">
        <v>107</v>
      </c>
      <c r="I105" s="50" t="s">
        <v>107</v>
      </c>
      <c r="J105" s="50" t="s">
        <v>107</v>
      </c>
      <c r="K105" s="50" t="s">
        <v>107</v>
      </c>
      <c r="L105" s="50" t="s">
        <v>107</v>
      </c>
      <c r="M105" s="50" t="s">
        <v>107</v>
      </c>
      <c r="N105" s="50" t="s">
        <v>107</v>
      </c>
      <c r="O105" s="50" t="s">
        <v>107</v>
      </c>
      <c r="P105" s="50" t="s">
        <v>107</v>
      </c>
      <c r="Q105" s="53" t="s">
        <v>107</v>
      </c>
    </row>
    <row r="106" spans="1:17" x14ac:dyDescent="0.35">
      <c r="A106">
        <v>4800</v>
      </c>
      <c r="B106" s="46" t="s">
        <v>107</v>
      </c>
      <c r="C106" s="50" t="s">
        <v>107</v>
      </c>
      <c r="D106" s="50" t="s">
        <v>107</v>
      </c>
      <c r="E106" s="50" t="s">
        <v>107</v>
      </c>
      <c r="F106" s="50" t="s">
        <v>107</v>
      </c>
      <c r="G106" s="50" t="s">
        <v>107</v>
      </c>
      <c r="H106" s="50" t="s">
        <v>107</v>
      </c>
      <c r="I106" s="50" t="s">
        <v>107</v>
      </c>
      <c r="J106" s="50" t="s">
        <v>107</v>
      </c>
      <c r="K106" s="50" t="s">
        <v>107</v>
      </c>
      <c r="L106" s="50" t="s">
        <v>107</v>
      </c>
      <c r="M106" s="50" t="s">
        <v>107</v>
      </c>
      <c r="N106" s="50" t="s">
        <v>107</v>
      </c>
      <c r="O106" s="50" t="s">
        <v>107</v>
      </c>
      <c r="P106" s="50" t="s">
        <v>107</v>
      </c>
      <c r="Q106" s="53" t="s">
        <v>107</v>
      </c>
    </row>
    <row r="107" spans="1:17" x14ac:dyDescent="0.35">
      <c r="A107">
        <v>5000</v>
      </c>
      <c r="B107" s="46" t="s">
        <v>107</v>
      </c>
      <c r="C107" s="50" t="s">
        <v>107</v>
      </c>
      <c r="D107" s="50" t="s">
        <v>107</v>
      </c>
      <c r="E107" s="50" t="s">
        <v>107</v>
      </c>
      <c r="F107" s="50" t="s">
        <v>107</v>
      </c>
      <c r="G107" s="50" t="s">
        <v>107</v>
      </c>
      <c r="H107" s="50" t="s">
        <v>107</v>
      </c>
      <c r="I107" s="50" t="s">
        <v>107</v>
      </c>
      <c r="J107" s="50" t="s">
        <v>107</v>
      </c>
      <c r="K107" s="50" t="s">
        <v>107</v>
      </c>
      <c r="L107" s="50" t="s">
        <v>107</v>
      </c>
      <c r="M107" s="50" t="s">
        <v>107</v>
      </c>
      <c r="N107" s="50" t="s">
        <v>107</v>
      </c>
      <c r="O107" s="50" t="s">
        <v>107</v>
      </c>
      <c r="P107" s="50" t="s">
        <v>107</v>
      </c>
      <c r="Q107" s="53" t="s">
        <v>107</v>
      </c>
    </row>
    <row r="108" spans="1:17" x14ac:dyDescent="0.35">
      <c r="A108">
        <v>5200</v>
      </c>
      <c r="B108" s="55">
        <v>13.598923076923075</v>
      </c>
      <c r="C108" s="42">
        <v>13.598923076923075</v>
      </c>
      <c r="D108" s="42">
        <v>13.598923076923075</v>
      </c>
      <c r="E108" s="42">
        <v>13.598923076923075</v>
      </c>
      <c r="F108" s="42">
        <v>13.598923076923075</v>
      </c>
      <c r="G108" s="42">
        <v>13.598923076923075</v>
      </c>
      <c r="H108" s="42">
        <v>13.598923076923075</v>
      </c>
      <c r="I108" s="42">
        <v>13.598923076923075</v>
      </c>
      <c r="J108" s="42">
        <v>13.598923076923075</v>
      </c>
      <c r="K108" s="42">
        <v>13.598923076923075</v>
      </c>
      <c r="L108" s="42">
        <v>13.598923076923075</v>
      </c>
      <c r="M108" s="42">
        <v>13.598923076923075</v>
      </c>
      <c r="N108" s="42">
        <v>13.598923076923075</v>
      </c>
      <c r="O108" s="42">
        <v>13.598923076923075</v>
      </c>
      <c r="P108" s="42">
        <v>13.598923076923075</v>
      </c>
      <c r="Q108" s="38">
        <v>13.598923076923075</v>
      </c>
    </row>
    <row r="109" spans="1:17" x14ac:dyDescent="0.35">
      <c r="A109">
        <v>5400</v>
      </c>
      <c r="B109" s="55">
        <v>13.668461538461539</v>
      </c>
      <c r="C109" s="42">
        <v>13.668461538461539</v>
      </c>
      <c r="D109" s="42">
        <v>13.668461538461539</v>
      </c>
      <c r="E109" s="42">
        <v>13.668461538461539</v>
      </c>
      <c r="F109" s="42">
        <v>13.668461538461539</v>
      </c>
      <c r="G109" s="42">
        <v>13.668461538461539</v>
      </c>
      <c r="H109" s="42">
        <v>13.668461538461539</v>
      </c>
      <c r="I109" s="42">
        <v>13.668461538461539</v>
      </c>
      <c r="J109" s="42">
        <v>13.668461538461539</v>
      </c>
      <c r="K109" s="42">
        <v>13.668461538461539</v>
      </c>
      <c r="L109" s="42">
        <v>13.668461538461539</v>
      </c>
      <c r="M109" s="42">
        <v>13.668461538461539</v>
      </c>
      <c r="N109" s="42">
        <v>13.668461538461539</v>
      </c>
      <c r="O109" s="42">
        <v>13.668461538461539</v>
      </c>
      <c r="P109" s="42">
        <v>13.668461538461539</v>
      </c>
      <c r="Q109" s="38">
        <v>13.668461538461539</v>
      </c>
    </row>
    <row r="110" spans="1:17" x14ac:dyDescent="0.35">
      <c r="A110">
        <v>5600</v>
      </c>
      <c r="B110" s="46" t="s">
        <v>107</v>
      </c>
      <c r="C110" s="50" t="s">
        <v>107</v>
      </c>
      <c r="D110" s="50" t="s">
        <v>107</v>
      </c>
      <c r="E110" s="50" t="s">
        <v>107</v>
      </c>
      <c r="F110" s="50" t="s">
        <v>107</v>
      </c>
      <c r="G110" s="50" t="s">
        <v>107</v>
      </c>
      <c r="H110" s="50" t="s">
        <v>107</v>
      </c>
      <c r="I110" s="50" t="s">
        <v>107</v>
      </c>
      <c r="J110" s="50" t="s">
        <v>107</v>
      </c>
      <c r="K110" s="50" t="s">
        <v>107</v>
      </c>
      <c r="L110" s="50" t="s">
        <v>107</v>
      </c>
      <c r="M110" s="50" t="s">
        <v>107</v>
      </c>
      <c r="N110" s="50" t="s">
        <v>107</v>
      </c>
      <c r="O110" s="50" t="s">
        <v>107</v>
      </c>
      <c r="P110" s="50" t="s">
        <v>107</v>
      </c>
      <c r="Q110" s="53" t="s">
        <v>107</v>
      </c>
    </row>
    <row r="111" spans="1:17" x14ac:dyDescent="0.35">
      <c r="A111">
        <v>5800</v>
      </c>
      <c r="B111" s="46" t="s">
        <v>107</v>
      </c>
      <c r="C111" s="50" t="s">
        <v>107</v>
      </c>
      <c r="D111" s="50" t="s">
        <v>107</v>
      </c>
      <c r="E111" s="50" t="s">
        <v>107</v>
      </c>
      <c r="F111" s="50" t="s">
        <v>107</v>
      </c>
      <c r="G111" s="50" t="s">
        <v>107</v>
      </c>
      <c r="H111" s="50" t="s">
        <v>107</v>
      </c>
      <c r="I111" s="50" t="s">
        <v>107</v>
      </c>
      <c r="J111" s="50" t="s">
        <v>107</v>
      </c>
      <c r="K111" s="50" t="s">
        <v>107</v>
      </c>
      <c r="L111" s="50" t="s">
        <v>107</v>
      </c>
      <c r="M111" s="50" t="s">
        <v>107</v>
      </c>
      <c r="N111" s="50" t="s">
        <v>107</v>
      </c>
      <c r="O111" s="50" t="s">
        <v>107</v>
      </c>
      <c r="P111" s="50" t="s">
        <v>107</v>
      </c>
      <c r="Q111" s="53" t="s">
        <v>107</v>
      </c>
    </row>
    <row r="112" spans="1:17" x14ac:dyDescent="0.35">
      <c r="A112">
        <v>6000</v>
      </c>
      <c r="B112" s="46" t="s">
        <v>107</v>
      </c>
      <c r="C112" s="50" t="s">
        <v>107</v>
      </c>
      <c r="D112" s="50" t="s">
        <v>107</v>
      </c>
      <c r="E112" s="50" t="s">
        <v>107</v>
      </c>
      <c r="F112" s="50" t="s">
        <v>107</v>
      </c>
      <c r="G112" s="50" t="s">
        <v>107</v>
      </c>
      <c r="H112" s="50" t="s">
        <v>107</v>
      </c>
      <c r="I112" s="50" t="s">
        <v>107</v>
      </c>
      <c r="J112" s="50" t="s">
        <v>107</v>
      </c>
      <c r="K112" s="50" t="s">
        <v>107</v>
      </c>
      <c r="L112" s="50" t="s">
        <v>107</v>
      </c>
      <c r="M112" s="50" t="s">
        <v>107</v>
      </c>
      <c r="N112" s="50" t="s">
        <v>107</v>
      </c>
      <c r="O112" s="50" t="s">
        <v>107</v>
      </c>
      <c r="P112" s="50" t="s">
        <v>107</v>
      </c>
      <c r="Q112" s="53" t="s">
        <v>107</v>
      </c>
    </row>
    <row r="113" spans="1:17" x14ac:dyDescent="0.35">
      <c r="A113">
        <v>6200</v>
      </c>
      <c r="B113" s="46" t="s">
        <v>107</v>
      </c>
      <c r="C113" s="50" t="s">
        <v>107</v>
      </c>
      <c r="D113" s="50" t="s">
        <v>107</v>
      </c>
      <c r="E113" s="50" t="s">
        <v>107</v>
      </c>
      <c r="F113" s="50" t="s">
        <v>107</v>
      </c>
      <c r="G113" s="50" t="s">
        <v>107</v>
      </c>
      <c r="H113" s="50" t="s">
        <v>107</v>
      </c>
      <c r="I113" s="50" t="s">
        <v>107</v>
      </c>
      <c r="J113" s="50" t="s">
        <v>107</v>
      </c>
      <c r="K113" s="50" t="s">
        <v>107</v>
      </c>
      <c r="L113" s="50" t="s">
        <v>107</v>
      </c>
      <c r="M113" s="50" t="s">
        <v>107</v>
      </c>
      <c r="N113" s="50" t="s">
        <v>107</v>
      </c>
      <c r="O113" s="50" t="s">
        <v>107</v>
      </c>
      <c r="P113" s="50" t="s">
        <v>107</v>
      </c>
      <c r="Q113" s="53" t="s">
        <v>107</v>
      </c>
    </row>
    <row r="114" spans="1:17" x14ac:dyDescent="0.35">
      <c r="A114">
        <v>6400</v>
      </c>
      <c r="B114" s="46" t="s">
        <v>107</v>
      </c>
      <c r="C114" s="50" t="s">
        <v>107</v>
      </c>
      <c r="D114" s="50" t="s">
        <v>107</v>
      </c>
      <c r="E114" s="50" t="s">
        <v>107</v>
      </c>
      <c r="F114" s="50" t="s">
        <v>107</v>
      </c>
      <c r="G114" s="50" t="s">
        <v>107</v>
      </c>
      <c r="H114" s="50" t="s">
        <v>107</v>
      </c>
      <c r="I114" s="50" t="s">
        <v>107</v>
      </c>
      <c r="J114" s="50" t="s">
        <v>107</v>
      </c>
      <c r="K114" s="50" t="s">
        <v>107</v>
      </c>
      <c r="L114" s="50" t="s">
        <v>107</v>
      </c>
      <c r="M114" s="50" t="s">
        <v>107</v>
      </c>
      <c r="N114" s="50" t="s">
        <v>107</v>
      </c>
      <c r="O114" s="50" t="s">
        <v>107</v>
      </c>
      <c r="P114" s="50" t="s">
        <v>107</v>
      </c>
      <c r="Q114" s="53" t="s">
        <v>107</v>
      </c>
    </row>
    <row r="115" spans="1:17" x14ac:dyDescent="0.35">
      <c r="A115">
        <v>6600</v>
      </c>
      <c r="B115" s="46" t="s">
        <v>107</v>
      </c>
      <c r="C115" s="50" t="s">
        <v>107</v>
      </c>
      <c r="D115" s="50" t="s">
        <v>107</v>
      </c>
      <c r="E115" s="50" t="s">
        <v>107</v>
      </c>
      <c r="F115" s="50" t="s">
        <v>107</v>
      </c>
      <c r="G115" s="50" t="s">
        <v>107</v>
      </c>
      <c r="H115" s="50" t="s">
        <v>107</v>
      </c>
      <c r="I115" s="50" t="s">
        <v>107</v>
      </c>
      <c r="J115" s="50" t="s">
        <v>107</v>
      </c>
      <c r="K115" s="50" t="s">
        <v>107</v>
      </c>
      <c r="L115" s="50" t="s">
        <v>107</v>
      </c>
      <c r="M115" s="50" t="s">
        <v>107</v>
      </c>
      <c r="N115" s="50" t="s">
        <v>107</v>
      </c>
      <c r="O115" s="50" t="s">
        <v>107</v>
      </c>
      <c r="P115" s="50" t="s">
        <v>107</v>
      </c>
      <c r="Q115" s="53" t="s">
        <v>107</v>
      </c>
    </row>
    <row r="116" spans="1:17" x14ac:dyDescent="0.35">
      <c r="A116">
        <v>6800</v>
      </c>
      <c r="B116" s="46" t="s">
        <v>107</v>
      </c>
      <c r="C116" s="50" t="s">
        <v>107</v>
      </c>
      <c r="D116" s="50" t="s">
        <v>107</v>
      </c>
      <c r="E116" s="50" t="s">
        <v>107</v>
      </c>
      <c r="F116" s="50" t="s">
        <v>107</v>
      </c>
      <c r="G116" s="50" t="s">
        <v>107</v>
      </c>
      <c r="H116" s="50" t="s">
        <v>107</v>
      </c>
      <c r="I116" s="50" t="s">
        <v>107</v>
      </c>
      <c r="J116" s="50" t="s">
        <v>107</v>
      </c>
      <c r="K116" s="50" t="s">
        <v>107</v>
      </c>
      <c r="L116" s="50" t="s">
        <v>107</v>
      </c>
      <c r="M116" s="50" t="s">
        <v>107</v>
      </c>
      <c r="N116" s="50" t="s">
        <v>107</v>
      </c>
      <c r="O116" s="50" t="s">
        <v>107</v>
      </c>
      <c r="P116" s="50" t="s">
        <v>107</v>
      </c>
      <c r="Q116" s="53" t="s">
        <v>107</v>
      </c>
    </row>
    <row r="117" spans="1:17" x14ac:dyDescent="0.35">
      <c r="A117">
        <v>7000</v>
      </c>
      <c r="B117" s="48" t="s">
        <v>107</v>
      </c>
      <c r="C117" s="51" t="s">
        <v>107</v>
      </c>
      <c r="D117" s="51" t="s">
        <v>107</v>
      </c>
      <c r="E117" s="51" t="s">
        <v>107</v>
      </c>
      <c r="F117" s="51" t="s">
        <v>107</v>
      </c>
      <c r="G117" s="51" t="s">
        <v>107</v>
      </c>
      <c r="H117" s="51" t="s">
        <v>107</v>
      </c>
      <c r="I117" s="51" t="s">
        <v>107</v>
      </c>
      <c r="J117" s="51" t="s">
        <v>107</v>
      </c>
      <c r="K117" s="51" t="s">
        <v>107</v>
      </c>
      <c r="L117" s="51" t="s">
        <v>107</v>
      </c>
      <c r="M117" s="51" t="s">
        <v>107</v>
      </c>
      <c r="N117" s="51" t="s">
        <v>107</v>
      </c>
      <c r="O117" s="51" t="s">
        <v>107</v>
      </c>
      <c r="P117" s="51" t="s">
        <v>107</v>
      </c>
      <c r="Q117" s="54" t="s">
        <v>107</v>
      </c>
    </row>
  </sheetData>
  <dataValidations count="3">
    <dataValidation type="list" allowBlank="1" showInputMessage="1" showErrorMessage="1" sqref="S4 W4" xr:uid="{877A3951-CC8E-4FDB-90E4-512AB883D252}">
      <formula1>OutputAddresses</formula1>
    </dataValidation>
    <dataValidation type="list" allowBlank="1" showInputMessage="1" showErrorMessage="1" sqref="T4" xr:uid="{95EED922-98FE-48A4-988A-1FAE403313A8}">
      <formula1>InputValues1</formula1>
    </dataValidation>
    <dataValidation type="list" allowBlank="1" showInputMessage="1" showErrorMessage="1" sqref="X4" xr:uid="{BCDB4910-F422-469A-B2DE-9AE1408BB32A}">
      <formula1>InputValues2</formula1>
    </dataValidation>
  </dataValidations>
  <pageMargins left="0.7" right="0.7" top="0.75" bottom="0.75" header="0.3" footer="0.3"/>
  <drawing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AEC54-2225-42D9-91DA-94F93525A167}">
  <dimension ref="A1:B15"/>
  <sheetViews>
    <sheetView workbookViewId="0"/>
  </sheetViews>
  <sheetFormatPr defaultRowHeight="14.5" x14ac:dyDescent="0.35"/>
  <sheetData>
    <row r="1" spans="1:2" x14ac:dyDescent="0.35">
      <c r="A1">
        <v>1</v>
      </c>
    </row>
    <row r="2" spans="1:2" x14ac:dyDescent="0.35">
      <c r="A2" t="s">
        <v>96</v>
      </c>
    </row>
    <row r="3" spans="1:2" x14ac:dyDescent="0.35">
      <c r="A3">
        <v>1</v>
      </c>
    </row>
    <row r="4" spans="1:2" x14ac:dyDescent="0.35">
      <c r="A4">
        <v>3000</v>
      </c>
    </row>
    <row r="5" spans="1:2" x14ac:dyDescent="0.35">
      <c r="A5">
        <v>7000</v>
      </c>
    </row>
    <row r="6" spans="1:2" x14ac:dyDescent="0.35">
      <c r="A6">
        <v>200</v>
      </c>
    </row>
    <row r="8" spans="1:2" x14ac:dyDescent="0.35">
      <c r="A8" s="18"/>
      <c r="B8" s="18"/>
    </row>
    <row r="9" spans="1:2" x14ac:dyDescent="0.35">
      <c r="A9" t="s">
        <v>98</v>
      </c>
    </row>
    <row r="10" spans="1:2" x14ac:dyDescent="0.35">
      <c r="A10" t="s">
        <v>79</v>
      </c>
    </row>
    <row r="15" spans="1:2" x14ac:dyDescent="0.35">
      <c r="B15" s="18"/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1480D34-79CE-4A51-B680-F15766BEA4B3}">
  <dimension ref="A1:B18"/>
  <sheetViews>
    <sheetView workbookViewId="0"/>
  </sheetViews>
  <sheetFormatPr defaultRowHeight="14.5" x14ac:dyDescent="0.35"/>
  <sheetData>
    <row r="1" spans="1:2" x14ac:dyDescent="0.35">
      <c r="A1">
        <v>1</v>
      </c>
      <c r="B1">
        <v>1</v>
      </c>
    </row>
    <row r="2" spans="1:2" x14ac:dyDescent="0.35">
      <c r="A2" t="s">
        <v>77</v>
      </c>
      <c r="B2" t="s">
        <v>77</v>
      </c>
    </row>
    <row r="3" spans="1:2" x14ac:dyDescent="0.35">
      <c r="A3">
        <v>1</v>
      </c>
      <c r="B3">
        <v>1</v>
      </c>
    </row>
    <row r="4" spans="1:2" x14ac:dyDescent="0.35">
      <c r="A4">
        <v>3000</v>
      </c>
      <c r="B4">
        <v>3000</v>
      </c>
    </row>
    <row r="5" spans="1:2" x14ac:dyDescent="0.35">
      <c r="A5">
        <v>7000</v>
      </c>
      <c r="B5">
        <v>7000</v>
      </c>
    </row>
    <row r="6" spans="1:2" x14ac:dyDescent="0.35">
      <c r="A6">
        <v>200</v>
      </c>
      <c r="B6">
        <v>200</v>
      </c>
    </row>
    <row r="8" spans="1:2" x14ac:dyDescent="0.35">
      <c r="A8" s="18"/>
      <c r="B8" s="18" t="s">
        <v>97</v>
      </c>
    </row>
    <row r="9" spans="1:2" x14ac:dyDescent="0.35">
      <c r="A9" t="s">
        <v>98</v>
      </c>
      <c r="B9" t="s">
        <v>45</v>
      </c>
    </row>
    <row r="10" spans="1:2" x14ac:dyDescent="0.35">
      <c r="A10" t="s">
        <v>118</v>
      </c>
      <c r="B10">
        <v>1</v>
      </c>
    </row>
    <row r="11" spans="1:2" x14ac:dyDescent="0.35">
      <c r="B11">
        <v>0</v>
      </c>
    </row>
    <row r="12" spans="1:2" x14ac:dyDescent="0.35">
      <c r="B12">
        <v>3000</v>
      </c>
    </row>
    <row r="13" spans="1:2" x14ac:dyDescent="0.35">
      <c r="B13">
        <v>200</v>
      </c>
    </row>
    <row r="15" spans="1:2" x14ac:dyDescent="0.35">
      <c r="B15" s="18" t="s">
        <v>97</v>
      </c>
    </row>
    <row r="16" spans="1:2" x14ac:dyDescent="0.35">
      <c r="B16" t="s">
        <v>121</v>
      </c>
    </row>
    <row r="17" spans="2:2" x14ac:dyDescent="0.35">
      <c r="B17" t="s">
        <v>122</v>
      </c>
    </row>
    <row r="18" spans="2:2" x14ac:dyDescent="0.35">
      <c r="B18" t="s">
        <v>123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FFA0C3-B010-42B3-9F35-792C8F147970}">
  <dimension ref="A1:H24"/>
  <sheetViews>
    <sheetView topLeftCell="A4" workbookViewId="0">
      <selection activeCell="B18" sqref="B18"/>
    </sheetView>
  </sheetViews>
  <sheetFormatPr defaultRowHeight="14.5" x14ac:dyDescent="0.35"/>
  <cols>
    <col min="1" max="1" width="23.7265625" customWidth="1"/>
    <col min="2" max="2" width="16.453125" bestFit="1" customWidth="1"/>
    <col min="3" max="3" width="12.36328125" bestFit="1" customWidth="1"/>
    <col min="4" max="4" width="21.54296875" bestFit="1" customWidth="1"/>
    <col min="5" max="5" width="19.1796875" bestFit="1" customWidth="1"/>
    <col min="6" max="6" width="21.08984375" bestFit="1" customWidth="1"/>
    <col min="8" max="8" width="21.08984375" bestFit="1" customWidth="1"/>
  </cols>
  <sheetData>
    <row r="1" spans="1:8" x14ac:dyDescent="0.35">
      <c r="A1" s="1" t="s">
        <v>0</v>
      </c>
    </row>
    <row r="3" spans="1:8" x14ac:dyDescent="0.35">
      <c r="A3" s="3"/>
      <c r="B3" s="4" t="s">
        <v>4</v>
      </c>
      <c r="C3" s="4" t="s">
        <v>8</v>
      </c>
      <c r="D3" s="4" t="s">
        <v>11</v>
      </c>
      <c r="E3" s="4" t="s">
        <v>12</v>
      </c>
      <c r="F3" s="4" t="s">
        <v>13</v>
      </c>
      <c r="H3" s="41">
        <f>B11</f>
        <v>70713.58011987475</v>
      </c>
    </row>
    <row r="4" spans="1:8" x14ac:dyDescent="0.35">
      <c r="A4" s="4" t="s">
        <v>1</v>
      </c>
      <c r="B4" s="3" t="s">
        <v>5</v>
      </c>
      <c r="C4" s="17">
        <v>2311.1109733581579</v>
      </c>
      <c r="D4" s="3">
        <v>0.99</v>
      </c>
      <c r="E4" s="3">
        <v>0.95</v>
      </c>
      <c r="F4" s="3">
        <v>15</v>
      </c>
      <c r="H4" s="42"/>
    </row>
    <row r="5" spans="1:8" x14ac:dyDescent="0.35">
      <c r="A5" s="4" t="s">
        <v>2</v>
      </c>
      <c r="B5" s="3" t="s">
        <v>6</v>
      </c>
      <c r="C5" s="17">
        <v>2567.9012192620098</v>
      </c>
      <c r="D5" s="3">
        <v>0.9</v>
      </c>
      <c r="E5" s="3">
        <v>0.85</v>
      </c>
      <c r="F5" s="3">
        <v>12.3</v>
      </c>
    </row>
    <row r="6" spans="1:8" x14ac:dyDescent="0.35">
      <c r="A6" s="4" t="s">
        <v>3</v>
      </c>
      <c r="B6" s="3" t="s">
        <v>7</v>
      </c>
      <c r="C6" s="17">
        <v>0</v>
      </c>
      <c r="D6" s="3">
        <v>0.95</v>
      </c>
      <c r="E6" s="3">
        <v>0.9</v>
      </c>
      <c r="F6" s="3">
        <v>14.5</v>
      </c>
    </row>
    <row r="7" spans="1:8" x14ac:dyDescent="0.35">
      <c r="A7" s="4" t="s">
        <v>9</v>
      </c>
      <c r="B7" s="3" t="s">
        <v>10</v>
      </c>
      <c r="C7" s="17">
        <v>320.98780737983157</v>
      </c>
      <c r="D7" s="3">
        <v>0.9</v>
      </c>
      <c r="E7" s="3">
        <v>0.94</v>
      </c>
      <c r="F7" s="3">
        <v>13.9</v>
      </c>
    </row>
    <row r="8" spans="1:8" x14ac:dyDescent="0.35">
      <c r="A8" s="2"/>
      <c r="B8" s="4" t="s">
        <v>56</v>
      </c>
      <c r="C8" s="28">
        <f>SUM(C4:C7)</f>
        <v>5200</v>
      </c>
      <c r="D8" s="2"/>
      <c r="E8" s="2"/>
      <c r="F8" s="2"/>
    </row>
    <row r="9" spans="1:8" x14ac:dyDescent="0.35">
      <c r="B9" s="5"/>
      <c r="C9" s="6"/>
    </row>
    <row r="10" spans="1:8" x14ac:dyDescent="0.35">
      <c r="A10" s="11" t="s">
        <v>14</v>
      </c>
    </row>
    <row r="11" spans="1:8" x14ac:dyDescent="0.35">
      <c r="A11" s="5" t="s">
        <v>15</v>
      </c>
      <c r="B11" s="12">
        <f>SUMPRODUCT(C4:C7,F4:F7)</f>
        <v>70713.58011987475</v>
      </c>
    </row>
    <row r="12" spans="1:8" x14ac:dyDescent="0.35">
      <c r="A12" s="2" t="s">
        <v>95</v>
      </c>
      <c r="B12">
        <v>5200</v>
      </c>
    </row>
    <row r="14" spans="1:8" x14ac:dyDescent="0.35">
      <c r="A14" s="1" t="s">
        <v>16</v>
      </c>
      <c r="F14" s="1"/>
    </row>
    <row r="15" spans="1:8" x14ac:dyDescent="0.35">
      <c r="A15" s="13"/>
      <c r="B15" s="4" t="s">
        <v>17</v>
      </c>
      <c r="C15" s="3"/>
      <c r="D15" s="4" t="s">
        <v>18</v>
      </c>
    </row>
    <row r="16" spans="1:8" ht="26" customHeight="1" x14ac:dyDescent="0.35">
      <c r="A16" s="14" t="s">
        <v>57</v>
      </c>
      <c r="B16" s="15">
        <f>C8</f>
        <v>5200</v>
      </c>
      <c r="C16" s="3" t="s">
        <v>21</v>
      </c>
      <c r="D16" s="15">
        <v>4200</v>
      </c>
    </row>
    <row r="17" spans="1:4" x14ac:dyDescent="0.35">
      <c r="A17" s="13" t="s">
        <v>19</v>
      </c>
      <c r="B17" s="15">
        <f>C8</f>
        <v>5200</v>
      </c>
      <c r="C17" s="3" t="s">
        <v>22</v>
      </c>
      <c r="D17" s="15">
        <v>5200</v>
      </c>
    </row>
    <row r="18" spans="1:4" x14ac:dyDescent="0.35">
      <c r="A18" s="13" t="s">
        <v>20</v>
      </c>
      <c r="B18" s="31">
        <f>SUMPRODUCT(C4:C7,D4:D7)/B12</f>
        <v>0.93999999761581421</v>
      </c>
      <c r="C18" s="3" t="s">
        <v>21</v>
      </c>
      <c r="D18" s="31">
        <v>0.93999999761581421</v>
      </c>
    </row>
    <row r="19" spans="1:4" x14ac:dyDescent="0.35">
      <c r="A19" s="13" t="s">
        <v>23</v>
      </c>
      <c r="B19" s="31">
        <f>SUMPRODUCT(C4:C7,E4:E7)/B12</f>
        <v>0.9</v>
      </c>
      <c r="C19" s="3" t="s">
        <v>21</v>
      </c>
      <c r="D19" s="15">
        <v>0.9</v>
      </c>
    </row>
    <row r="20" spans="1:4" x14ac:dyDescent="0.35">
      <c r="A20" s="13" t="s">
        <v>24</v>
      </c>
      <c r="B20" s="31">
        <f>SUMPRODUCT(C4:C7,F4:F7)/B12</f>
        <v>13.598765407668221</v>
      </c>
      <c r="C20" s="3" t="s">
        <v>25</v>
      </c>
      <c r="D20" s="15">
        <v>14</v>
      </c>
    </row>
    <row r="21" spans="1:4" x14ac:dyDescent="0.35">
      <c r="A21" s="13" t="s">
        <v>58</v>
      </c>
      <c r="B21" s="32">
        <f>C4</f>
        <v>2311.1109733581579</v>
      </c>
      <c r="C21" s="3" t="s">
        <v>25</v>
      </c>
      <c r="D21" s="15">
        <f>0.5*$C$8</f>
        <v>2600</v>
      </c>
    </row>
    <row r="22" spans="1:4" x14ac:dyDescent="0.35">
      <c r="A22" s="13" t="s">
        <v>59</v>
      </c>
      <c r="B22" s="32">
        <f>C5</f>
        <v>2567.9012192620098</v>
      </c>
      <c r="C22" s="3" t="s">
        <v>25</v>
      </c>
      <c r="D22" s="15">
        <f t="shared" ref="D22:D24" si="0">0.5*$C$8</f>
        <v>2600</v>
      </c>
    </row>
    <row r="23" spans="1:4" x14ac:dyDescent="0.35">
      <c r="A23" s="13" t="s">
        <v>60</v>
      </c>
      <c r="B23" s="32">
        <f>C6</f>
        <v>0</v>
      </c>
      <c r="C23" s="3" t="s">
        <v>25</v>
      </c>
      <c r="D23" s="15">
        <f t="shared" si="0"/>
        <v>2600</v>
      </c>
    </row>
    <row r="24" spans="1:4" x14ac:dyDescent="0.35">
      <c r="A24" s="13" t="s">
        <v>61</v>
      </c>
      <c r="B24" s="32">
        <f>C7</f>
        <v>320.98780737983157</v>
      </c>
      <c r="C24" s="3" t="s">
        <v>25</v>
      </c>
      <c r="D24" s="15">
        <f t="shared" si="0"/>
        <v>2600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31E4B9-3E21-4333-83AB-1BDB6EC58113}">
  <dimension ref="A1:K25"/>
  <sheetViews>
    <sheetView zoomScale="94" zoomScaleNormal="94" workbookViewId="0">
      <selection activeCell="H7" sqref="H7"/>
    </sheetView>
  </sheetViews>
  <sheetFormatPr defaultRowHeight="14.5" x14ac:dyDescent="0.35"/>
  <cols>
    <col min="6" max="6" width="11.54296875" bestFit="1" customWidth="1"/>
  </cols>
  <sheetData>
    <row r="1" spans="1:11" x14ac:dyDescent="0.35">
      <c r="A1" s="6" t="s">
        <v>116</v>
      </c>
      <c r="K1" s="21" t="str">
        <f>CONCATENATE("Sensitivity of ",$K$4," to ","Input")</f>
        <v>Sensitivity of $C$4 to Input</v>
      </c>
    </row>
    <row r="3" spans="1:11" x14ac:dyDescent="0.35">
      <c r="A3" t="s">
        <v>117</v>
      </c>
      <c r="K3" t="s">
        <v>83</v>
      </c>
    </row>
    <row r="4" spans="1:11" ht="32.5" x14ac:dyDescent="0.35">
      <c r="B4" s="19" t="s">
        <v>43</v>
      </c>
      <c r="C4" s="19" t="s">
        <v>45</v>
      </c>
      <c r="D4" s="19" t="s">
        <v>47</v>
      </c>
      <c r="E4" s="19" t="s">
        <v>49</v>
      </c>
      <c r="F4" s="19" t="s">
        <v>82</v>
      </c>
      <c r="J4" s="21">
        <f>MATCH($K$4,OutputAddresses,0)</f>
        <v>1</v>
      </c>
      <c r="K4" s="20" t="s">
        <v>43</v>
      </c>
    </row>
    <row r="5" spans="1:11" x14ac:dyDescent="0.35">
      <c r="A5">
        <v>3000</v>
      </c>
      <c r="B5" s="45" t="s">
        <v>107</v>
      </c>
      <c r="C5" s="33"/>
      <c r="D5" s="33"/>
      <c r="E5" s="33"/>
      <c r="F5" s="23"/>
      <c r="K5" t="str">
        <f>INDEX(OutputValues,1,$J$4)</f>
        <v>Not feasible</v>
      </c>
    </row>
    <row r="6" spans="1:11" x14ac:dyDescent="0.35">
      <c r="A6">
        <v>3200</v>
      </c>
      <c r="B6" s="46" t="s">
        <v>107</v>
      </c>
      <c r="F6" s="25"/>
      <c r="K6" t="str">
        <f>INDEX(OutputValues,2,$J$4)</f>
        <v>Not feasible</v>
      </c>
    </row>
    <row r="7" spans="1:11" x14ac:dyDescent="0.35">
      <c r="A7">
        <v>3400</v>
      </c>
      <c r="B7" s="46" t="s">
        <v>107</v>
      </c>
      <c r="F7" s="25"/>
      <c r="K7" t="str">
        <f>INDEX(OutputValues,3,$J$4)</f>
        <v>Not feasible</v>
      </c>
    </row>
    <row r="8" spans="1:11" x14ac:dyDescent="0.35">
      <c r="A8">
        <v>3600</v>
      </c>
      <c r="B8" s="46" t="s">
        <v>107</v>
      </c>
      <c r="F8" s="25"/>
      <c r="K8" t="str">
        <f>INDEX(OutputValues,4,$J$4)</f>
        <v>Not feasible</v>
      </c>
    </row>
    <row r="9" spans="1:11" x14ac:dyDescent="0.35">
      <c r="A9">
        <v>3800</v>
      </c>
      <c r="B9" s="46" t="s">
        <v>107</v>
      </c>
      <c r="F9" s="25"/>
      <c r="K9" t="str">
        <f>INDEX(OutputValues,5,$J$4)</f>
        <v>Not feasible</v>
      </c>
    </row>
    <row r="10" spans="1:11" x14ac:dyDescent="0.35">
      <c r="A10">
        <v>4000</v>
      </c>
      <c r="B10" s="46" t="s">
        <v>107</v>
      </c>
      <c r="F10" s="25"/>
      <c r="K10" t="str">
        <f>INDEX(OutputValues,6,$J$4)</f>
        <v>Not feasible</v>
      </c>
    </row>
    <row r="11" spans="1:11" x14ac:dyDescent="0.35">
      <c r="A11">
        <v>4200</v>
      </c>
      <c r="B11" s="46" t="s">
        <v>107</v>
      </c>
      <c r="F11" s="25"/>
      <c r="K11" t="str">
        <f>INDEX(OutputValues,7,$J$4)</f>
        <v>Not feasible</v>
      </c>
    </row>
    <row r="12" spans="1:11" x14ac:dyDescent="0.35">
      <c r="A12">
        <v>4400</v>
      </c>
      <c r="B12" s="46" t="s">
        <v>107</v>
      </c>
      <c r="F12" s="25"/>
      <c r="K12" t="str">
        <f>INDEX(OutputValues,8,$J$4)</f>
        <v>Not feasible</v>
      </c>
    </row>
    <row r="13" spans="1:11" x14ac:dyDescent="0.35">
      <c r="A13">
        <v>4600</v>
      </c>
      <c r="B13" s="46" t="s">
        <v>107</v>
      </c>
      <c r="F13" s="25"/>
      <c r="K13" t="str">
        <f>INDEX(OutputValues,9,$J$4)</f>
        <v>Not feasible</v>
      </c>
    </row>
    <row r="14" spans="1:11" x14ac:dyDescent="0.35">
      <c r="A14">
        <v>4800</v>
      </c>
      <c r="B14" s="46" t="s">
        <v>107</v>
      </c>
      <c r="F14" s="25"/>
      <c r="K14" t="str">
        <f>INDEX(OutputValues,10,$J$4)</f>
        <v>Not feasible</v>
      </c>
    </row>
    <row r="15" spans="1:11" x14ac:dyDescent="0.35">
      <c r="A15">
        <v>5000</v>
      </c>
      <c r="B15" s="46" t="s">
        <v>107</v>
      </c>
      <c r="F15" s="25"/>
      <c r="K15" t="str">
        <f>INDEX(OutputValues,11,$J$4)</f>
        <v>Not feasible</v>
      </c>
    </row>
    <row r="16" spans="1:11" x14ac:dyDescent="0.35">
      <c r="A16">
        <v>5200</v>
      </c>
      <c r="B16" s="57">
        <v>2311.1109733581579</v>
      </c>
      <c r="C16" s="37">
        <v>2567.9012192620098</v>
      </c>
      <c r="D16" s="37">
        <v>0</v>
      </c>
      <c r="E16" s="37">
        <v>320.98780737983157</v>
      </c>
      <c r="F16" s="56">
        <v>70713.58</v>
      </c>
      <c r="K16">
        <f>INDEX(OutputValues,12,$J$4)</f>
        <v>2311.1109733581579</v>
      </c>
    </row>
    <row r="17" spans="1:11" x14ac:dyDescent="0.35">
      <c r="A17">
        <v>5400</v>
      </c>
      <c r="B17" s="57">
        <v>0</v>
      </c>
      <c r="C17" s="37">
        <v>2700</v>
      </c>
      <c r="D17" s="37">
        <v>559.99975204468819</v>
      </c>
      <c r="E17" s="37">
        <v>2140.0002479553114</v>
      </c>
      <c r="F17" s="56">
        <v>71076</v>
      </c>
      <c r="K17">
        <f>INDEX(OutputValues,13,$J$4)</f>
        <v>0</v>
      </c>
    </row>
    <row r="18" spans="1:11" x14ac:dyDescent="0.35">
      <c r="A18">
        <v>5600</v>
      </c>
      <c r="B18" s="46" t="s">
        <v>107</v>
      </c>
      <c r="F18" s="25"/>
      <c r="K18" t="str">
        <f>INDEX(OutputValues,14,$J$4)</f>
        <v>Not feasible</v>
      </c>
    </row>
    <row r="19" spans="1:11" x14ac:dyDescent="0.35">
      <c r="A19">
        <v>5800</v>
      </c>
      <c r="B19" s="46" t="s">
        <v>107</v>
      </c>
      <c r="F19" s="25"/>
      <c r="K19" t="str">
        <f>INDEX(OutputValues,15,$J$4)</f>
        <v>Not feasible</v>
      </c>
    </row>
    <row r="20" spans="1:11" x14ac:dyDescent="0.35">
      <c r="A20">
        <v>6000</v>
      </c>
      <c r="B20" s="46" t="s">
        <v>107</v>
      </c>
      <c r="F20" s="25"/>
      <c r="K20" t="str">
        <f>INDEX(OutputValues,16,$J$4)</f>
        <v>Not feasible</v>
      </c>
    </row>
    <row r="21" spans="1:11" x14ac:dyDescent="0.35">
      <c r="A21">
        <v>6200</v>
      </c>
      <c r="B21" s="46" t="s">
        <v>107</v>
      </c>
      <c r="F21" s="25"/>
      <c r="K21" t="str">
        <f>INDEX(OutputValues,17,$J$4)</f>
        <v>Not feasible</v>
      </c>
    </row>
    <row r="22" spans="1:11" x14ac:dyDescent="0.35">
      <c r="A22">
        <v>6400</v>
      </c>
      <c r="B22" s="46" t="s">
        <v>107</v>
      </c>
      <c r="F22" s="25"/>
      <c r="K22" t="str">
        <f>INDEX(OutputValues,18,$J$4)</f>
        <v>Not feasible</v>
      </c>
    </row>
    <row r="23" spans="1:11" x14ac:dyDescent="0.35">
      <c r="A23">
        <v>6600</v>
      </c>
      <c r="B23" s="46" t="s">
        <v>107</v>
      </c>
      <c r="F23" s="25"/>
      <c r="K23" t="str">
        <f>INDEX(OutputValues,19,$J$4)</f>
        <v>Not feasible</v>
      </c>
    </row>
    <row r="24" spans="1:11" x14ac:dyDescent="0.35">
      <c r="A24">
        <v>6800</v>
      </c>
      <c r="B24" s="46" t="s">
        <v>107</v>
      </c>
      <c r="F24" s="25"/>
      <c r="K24" t="str">
        <f>INDEX(OutputValues,20,$J$4)</f>
        <v>Not feasible</v>
      </c>
    </row>
    <row r="25" spans="1:11" x14ac:dyDescent="0.35">
      <c r="A25">
        <v>7000</v>
      </c>
      <c r="B25" s="48" t="s">
        <v>107</v>
      </c>
      <c r="C25" s="34"/>
      <c r="D25" s="34"/>
      <c r="E25" s="34"/>
      <c r="F25" s="27"/>
      <c r="K25" t="str">
        <f>INDEX(OutputValues,21,$J$4)</f>
        <v>Not feasible</v>
      </c>
    </row>
  </sheetData>
  <dataValidations count="1">
    <dataValidation type="list" allowBlank="1" showInputMessage="1" showErrorMessage="1" sqref="K4" xr:uid="{4FE419F3-B0CD-4618-BA1D-2DC8886107B6}">
      <formula1>OutputAddresses</formula1>
    </dataValidation>
  </dataValidations>
  <pageMargins left="0.7" right="0.7" top="0.75" bottom="0.75" header="0.3" footer="0.3"/>
  <drawing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30AB26-2768-493C-A093-71FC926BD00A}">
  <dimension ref="A1:I24"/>
  <sheetViews>
    <sheetView zoomScale="75" zoomScaleNormal="75" workbookViewId="0">
      <selection activeCell="D17" sqref="D17"/>
    </sheetView>
  </sheetViews>
  <sheetFormatPr defaultRowHeight="14.5" x14ac:dyDescent="0.35"/>
  <cols>
    <col min="1" max="1" width="23.7265625" customWidth="1"/>
    <col min="2" max="2" width="16.453125" bestFit="1" customWidth="1"/>
    <col min="3" max="3" width="12.36328125" bestFit="1" customWidth="1"/>
    <col min="4" max="4" width="21.54296875" bestFit="1" customWidth="1"/>
    <col min="5" max="5" width="19.1796875" bestFit="1" customWidth="1"/>
    <col min="6" max="6" width="21.08984375" bestFit="1" customWidth="1"/>
    <col min="8" max="8" width="21.08984375" bestFit="1" customWidth="1"/>
  </cols>
  <sheetData>
    <row r="1" spans="1:9" x14ac:dyDescent="0.35">
      <c r="A1" s="1" t="s">
        <v>0</v>
      </c>
    </row>
    <row r="3" spans="1:9" x14ac:dyDescent="0.35">
      <c r="A3" s="3"/>
      <c r="B3" s="4" t="s">
        <v>4</v>
      </c>
      <c r="C3" s="4" t="s">
        <v>8</v>
      </c>
      <c r="D3" s="4" t="s">
        <v>11</v>
      </c>
      <c r="E3" s="4" t="s">
        <v>12</v>
      </c>
      <c r="F3" s="4" t="s">
        <v>13</v>
      </c>
    </row>
    <row r="4" spans="1:9" x14ac:dyDescent="0.35">
      <c r="A4" s="4" t="s">
        <v>1</v>
      </c>
      <c r="B4" s="3" t="s">
        <v>5</v>
      </c>
      <c r="C4" s="17"/>
      <c r="D4" s="3">
        <v>0.99</v>
      </c>
      <c r="E4" s="3">
        <v>0.95</v>
      </c>
      <c r="F4" s="3">
        <v>15</v>
      </c>
    </row>
    <row r="5" spans="1:9" x14ac:dyDescent="0.35">
      <c r="A5" s="4" t="s">
        <v>2</v>
      </c>
      <c r="B5" s="3" t="s">
        <v>6</v>
      </c>
      <c r="C5" s="17"/>
      <c r="D5" s="3">
        <v>0.9</v>
      </c>
      <c r="E5" s="3">
        <v>0.85</v>
      </c>
      <c r="F5" s="3">
        <v>12.3</v>
      </c>
    </row>
    <row r="6" spans="1:9" x14ac:dyDescent="0.35">
      <c r="A6" s="4" t="s">
        <v>3</v>
      </c>
      <c r="B6" s="3" t="s">
        <v>7</v>
      </c>
      <c r="C6" s="17"/>
      <c r="D6" s="3">
        <v>0.95</v>
      </c>
      <c r="E6" s="3">
        <v>0.9</v>
      </c>
      <c r="F6" s="3">
        <v>14.5</v>
      </c>
    </row>
    <row r="7" spans="1:9" x14ac:dyDescent="0.35">
      <c r="A7" s="4" t="s">
        <v>9</v>
      </c>
      <c r="B7" s="3" t="s">
        <v>10</v>
      </c>
      <c r="C7" s="17"/>
      <c r="D7" s="3">
        <v>0.9</v>
      </c>
      <c r="E7" s="3">
        <v>0.94</v>
      </c>
      <c r="F7" s="3">
        <v>13.9</v>
      </c>
    </row>
    <row r="8" spans="1:9" x14ac:dyDescent="0.35">
      <c r="A8" s="2"/>
      <c r="B8" s="4" t="s">
        <v>56</v>
      </c>
      <c r="C8" s="29">
        <f>SUM(C4:C7)</f>
        <v>0</v>
      </c>
      <c r="D8" s="2"/>
      <c r="E8" s="2"/>
      <c r="F8" s="2"/>
    </row>
    <row r="9" spans="1:9" x14ac:dyDescent="0.35">
      <c r="B9" s="5"/>
      <c r="C9" s="6"/>
    </row>
    <row r="10" spans="1:9" x14ac:dyDescent="0.35">
      <c r="A10" s="11" t="s">
        <v>14</v>
      </c>
    </row>
    <row r="11" spans="1:9" x14ac:dyDescent="0.35">
      <c r="A11" s="5" t="s">
        <v>15</v>
      </c>
      <c r="B11" s="12">
        <f>SUMPRODUCT(C4:C7,F4:F7)</f>
        <v>0</v>
      </c>
    </row>
    <row r="14" spans="1:9" x14ac:dyDescent="0.35">
      <c r="A14" s="1" t="s">
        <v>16</v>
      </c>
      <c r="F14" s="1" t="s">
        <v>62</v>
      </c>
    </row>
    <row r="15" spans="1:9" x14ac:dyDescent="0.35">
      <c r="A15" s="13"/>
      <c r="B15" s="4" t="s">
        <v>17</v>
      </c>
      <c r="C15" s="3"/>
      <c r="D15" s="4" t="s">
        <v>18</v>
      </c>
      <c r="F15" s="13"/>
      <c r="G15" s="4" t="s">
        <v>17</v>
      </c>
      <c r="H15" s="3"/>
      <c r="I15" s="4" t="s">
        <v>18</v>
      </c>
    </row>
    <row r="16" spans="1:9" ht="26" customHeight="1" x14ac:dyDescent="0.35">
      <c r="A16" s="16" t="s">
        <v>57</v>
      </c>
      <c r="B16" s="32">
        <f>G16</f>
        <v>0</v>
      </c>
      <c r="C16" s="3" t="s">
        <v>21</v>
      </c>
      <c r="D16" s="32">
        <v>4500</v>
      </c>
      <c r="F16" s="14" t="s">
        <v>57</v>
      </c>
      <c r="G16" s="15">
        <f>C8</f>
        <v>0</v>
      </c>
      <c r="H16" s="3" t="s">
        <v>21</v>
      </c>
      <c r="I16" s="15">
        <v>4200</v>
      </c>
    </row>
    <row r="17" spans="1:9" x14ac:dyDescent="0.35">
      <c r="A17" s="3" t="s">
        <v>19</v>
      </c>
      <c r="B17" s="32">
        <f>G17</f>
        <v>0</v>
      </c>
      <c r="C17" s="3" t="s">
        <v>22</v>
      </c>
      <c r="D17" s="32">
        <f>I17</f>
        <v>5200</v>
      </c>
      <c r="F17" s="13" t="s">
        <v>19</v>
      </c>
      <c r="G17" s="15">
        <f>C8</f>
        <v>0</v>
      </c>
      <c r="H17" s="3" t="s">
        <v>22</v>
      </c>
      <c r="I17" s="15">
        <v>5200</v>
      </c>
    </row>
    <row r="18" spans="1:9" x14ac:dyDescent="0.35">
      <c r="A18" s="3" t="s">
        <v>20</v>
      </c>
      <c r="B18" s="30" t="e">
        <f>G18/C8</f>
        <v>#DIV/0!</v>
      </c>
      <c r="C18" s="3" t="s">
        <v>21</v>
      </c>
      <c r="D18" s="31" t="e">
        <f>I18/C8</f>
        <v>#DIV/0!</v>
      </c>
      <c r="F18" s="13" t="s">
        <v>20</v>
      </c>
      <c r="G18" s="15">
        <f>SUMPRODUCT(C4:C7,D4:D7)</f>
        <v>0</v>
      </c>
      <c r="H18" s="3" t="s">
        <v>21</v>
      </c>
      <c r="I18" s="15">
        <f>0.94*C8</f>
        <v>0</v>
      </c>
    </row>
    <row r="19" spans="1:9" x14ac:dyDescent="0.35">
      <c r="A19" s="3" t="s">
        <v>23</v>
      </c>
      <c r="B19" s="30" t="e">
        <f>G19/C8</f>
        <v>#DIV/0!</v>
      </c>
      <c r="C19" s="3" t="s">
        <v>21</v>
      </c>
      <c r="D19" s="31" t="e">
        <f>I19/C8</f>
        <v>#DIV/0!</v>
      </c>
      <c r="F19" s="13" t="s">
        <v>23</v>
      </c>
      <c r="G19" s="15">
        <f>SUMPRODUCT(C4:C7,E4:E7)</f>
        <v>0</v>
      </c>
      <c r="H19" s="3" t="s">
        <v>21</v>
      </c>
      <c r="I19" s="15">
        <f>0.9*C8</f>
        <v>0</v>
      </c>
    </row>
    <row r="20" spans="1:9" x14ac:dyDescent="0.35">
      <c r="A20" s="3" t="s">
        <v>24</v>
      </c>
      <c r="B20" s="31" t="e">
        <f>G20/C8</f>
        <v>#DIV/0!</v>
      </c>
      <c r="C20" s="3" t="s">
        <v>25</v>
      </c>
      <c r="D20" s="32" t="e">
        <f>I20/C8</f>
        <v>#DIV/0!</v>
      </c>
      <c r="F20" s="13" t="s">
        <v>24</v>
      </c>
      <c r="G20" s="15">
        <f>SUMPRODUCT(C4:C7,F4:F7)</f>
        <v>0</v>
      </c>
      <c r="H20" s="3" t="s">
        <v>25</v>
      </c>
      <c r="I20" s="15">
        <f>14*C8</f>
        <v>0</v>
      </c>
    </row>
    <row r="21" spans="1:9" x14ac:dyDescent="0.35">
      <c r="A21" s="3" t="s">
        <v>58</v>
      </c>
      <c r="B21" s="32">
        <f>G21</f>
        <v>0</v>
      </c>
      <c r="C21" s="3" t="s">
        <v>25</v>
      </c>
      <c r="D21" s="32">
        <f>I21</f>
        <v>0</v>
      </c>
      <c r="F21" s="13" t="s">
        <v>58</v>
      </c>
      <c r="G21" s="15">
        <f>C4</f>
        <v>0</v>
      </c>
      <c r="H21" s="3" t="s">
        <v>25</v>
      </c>
      <c r="I21" s="15">
        <f>0.5*$C$8</f>
        <v>0</v>
      </c>
    </row>
    <row r="22" spans="1:9" x14ac:dyDescent="0.35">
      <c r="A22" s="3" t="s">
        <v>59</v>
      </c>
      <c r="B22" s="32">
        <f>G22</f>
        <v>0</v>
      </c>
      <c r="C22" s="3" t="s">
        <v>25</v>
      </c>
      <c r="D22" s="32">
        <f>I22</f>
        <v>0</v>
      </c>
      <c r="F22" s="13" t="s">
        <v>59</v>
      </c>
      <c r="G22" s="15">
        <f>C5</f>
        <v>0</v>
      </c>
      <c r="H22" s="3" t="s">
        <v>25</v>
      </c>
      <c r="I22" s="15">
        <f t="shared" ref="I22:I24" si="0">0.5*$C$8</f>
        <v>0</v>
      </c>
    </row>
    <row r="23" spans="1:9" x14ac:dyDescent="0.35">
      <c r="A23" s="3" t="s">
        <v>60</v>
      </c>
      <c r="B23" s="32">
        <f>G23</f>
        <v>0</v>
      </c>
      <c r="C23" s="3" t="s">
        <v>25</v>
      </c>
      <c r="D23" s="32">
        <f>I23</f>
        <v>0</v>
      </c>
      <c r="F23" s="13" t="s">
        <v>60</v>
      </c>
      <c r="G23" s="15">
        <f>C6</f>
        <v>0</v>
      </c>
      <c r="H23" s="3" t="s">
        <v>25</v>
      </c>
      <c r="I23" s="15">
        <f t="shared" si="0"/>
        <v>0</v>
      </c>
    </row>
    <row r="24" spans="1:9" x14ac:dyDescent="0.35">
      <c r="A24" s="3" t="s">
        <v>61</v>
      </c>
      <c r="B24" s="32">
        <f>G24</f>
        <v>0</v>
      </c>
      <c r="C24" s="3" t="s">
        <v>25</v>
      </c>
      <c r="D24" s="32">
        <f>I24</f>
        <v>0</v>
      </c>
      <c r="F24" s="13" t="s">
        <v>61</v>
      </c>
      <c r="G24" s="15">
        <f>C7</f>
        <v>0</v>
      </c>
      <c r="H24" s="3" t="s">
        <v>25</v>
      </c>
      <c r="I24" s="15">
        <f t="shared" si="0"/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24DC05-B821-41F8-A7CA-AE373A77FF84}">
  <dimension ref="A1:H24"/>
  <sheetViews>
    <sheetView showGridLines="0" topLeftCell="A5" workbookViewId="0">
      <selection activeCell="D20" sqref="D20"/>
    </sheetView>
  </sheetViews>
  <sheetFormatPr defaultRowHeight="14.5" x14ac:dyDescent="0.35"/>
  <cols>
    <col min="1" max="1" width="2.1796875" customWidth="1"/>
    <col min="2" max="2" width="6.08984375" bestFit="1" customWidth="1"/>
    <col min="3" max="3" width="24.6328125" bestFit="1" customWidth="1"/>
    <col min="4" max="5" width="11.81640625" bestFit="1" customWidth="1"/>
    <col min="6" max="6" width="10.1796875" bestFit="1" customWidth="1"/>
    <col min="7" max="8" width="11.81640625" bestFit="1" customWidth="1"/>
  </cols>
  <sheetData>
    <row r="1" spans="1:8" x14ac:dyDescent="0.35">
      <c r="A1" s="6" t="s">
        <v>26</v>
      </c>
    </row>
    <row r="2" spans="1:8" x14ac:dyDescent="0.35">
      <c r="A2" s="6" t="s">
        <v>130</v>
      </c>
    </row>
    <row r="3" spans="1:8" x14ac:dyDescent="0.35">
      <c r="A3" s="6" t="s">
        <v>141</v>
      </c>
    </row>
    <row r="6" spans="1:8" ht="15" thickBot="1" x14ac:dyDescent="0.4">
      <c r="A6" t="s">
        <v>27</v>
      </c>
    </row>
    <row r="7" spans="1:8" x14ac:dyDescent="0.35">
      <c r="B7" s="9"/>
      <c r="C7" s="9"/>
      <c r="D7" s="9" t="s">
        <v>30</v>
      </c>
      <c r="E7" s="9" t="s">
        <v>32</v>
      </c>
      <c r="F7" s="9" t="s">
        <v>34</v>
      </c>
      <c r="G7" s="9" t="s">
        <v>36</v>
      </c>
      <c r="H7" s="9" t="s">
        <v>36</v>
      </c>
    </row>
    <row r="8" spans="1:8" ht="15" thickBot="1" x14ac:dyDescent="0.4">
      <c r="B8" s="10" t="s">
        <v>28</v>
      </c>
      <c r="C8" s="10" t="s">
        <v>29</v>
      </c>
      <c r="D8" s="10" t="s">
        <v>31</v>
      </c>
      <c r="E8" s="10" t="s">
        <v>33</v>
      </c>
      <c r="F8" s="10" t="s">
        <v>35</v>
      </c>
      <c r="G8" s="10" t="s">
        <v>37</v>
      </c>
      <c r="H8" s="10" t="s">
        <v>38</v>
      </c>
    </row>
    <row r="9" spans="1:8" x14ac:dyDescent="0.35">
      <c r="B9" s="7" t="s">
        <v>43</v>
      </c>
      <c r="C9" s="7" t="s">
        <v>44</v>
      </c>
      <c r="D9" s="7">
        <v>2311.1111111111049</v>
      </c>
      <c r="E9" s="7">
        <v>0</v>
      </c>
      <c r="F9" s="7">
        <v>15</v>
      </c>
      <c r="G9" s="7">
        <v>1.4377777777778005</v>
      </c>
      <c r="H9" s="7">
        <v>0.92222222222223393</v>
      </c>
    </row>
    <row r="10" spans="1:8" x14ac:dyDescent="0.35">
      <c r="B10" s="7" t="s">
        <v>45</v>
      </c>
      <c r="C10" s="7" t="s">
        <v>46</v>
      </c>
      <c r="D10" s="7">
        <v>2567.9012345678948</v>
      </c>
      <c r="E10" s="7">
        <v>0</v>
      </c>
      <c r="F10" s="7">
        <v>12.3</v>
      </c>
      <c r="G10" s="7">
        <v>1.5780487804878165</v>
      </c>
      <c r="H10" s="7">
        <v>8.3000000000002476</v>
      </c>
    </row>
    <row r="11" spans="1:8" x14ac:dyDescent="0.35">
      <c r="B11" s="7" t="s">
        <v>47</v>
      </c>
      <c r="C11" s="7" t="s">
        <v>48</v>
      </c>
      <c r="D11" s="7">
        <v>0</v>
      </c>
      <c r="E11" s="7">
        <v>0.79876543209877204</v>
      </c>
      <c r="F11" s="7">
        <v>14.499999999999996</v>
      </c>
      <c r="G11" s="7">
        <v>1E+30</v>
      </c>
      <c r="H11" s="7">
        <v>0.79876543209877204</v>
      </c>
    </row>
    <row r="12" spans="1:8" ht="15" thickBot="1" x14ac:dyDescent="0.4">
      <c r="B12" s="8" t="s">
        <v>49</v>
      </c>
      <c r="C12" s="8" t="s">
        <v>50</v>
      </c>
      <c r="D12" s="8">
        <v>320.98765432100066</v>
      </c>
      <c r="E12" s="8">
        <v>0</v>
      </c>
      <c r="F12" s="8">
        <v>13.899999999999999</v>
      </c>
      <c r="G12" s="8">
        <v>0.83000000000001106</v>
      </c>
      <c r="H12" s="8">
        <v>1.6000000000000156</v>
      </c>
    </row>
    <row r="14" spans="1:8" ht="15" thickBot="1" x14ac:dyDescent="0.4">
      <c r="A14" t="s">
        <v>16</v>
      </c>
    </row>
    <row r="15" spans="1:8" x14ac:dyDescent="0.35">
      <c r="B15" s="9"/>
      <c r="C15" s="9"/>
      <c r="D15" s="9" t="s">
        <v>30</v>
      </c>
      <c r="E15" s="9" t="s">
        <v>39</v>
      </c>
      <c r="F15" s="9" t="s">
        <v>41</v>
      </c>
      <c r="G15" s="9" t="s">
        <v>36</v>
      </c>
      <c r="H15" s="9" t="s">
        <v>36</v>
      </c>
    </row>
    <row r="16" spans="1:8" ht="15" thickBot="1" x14ac:dyDescent="0.4">
      <c r="B16" s="10" t="s">
        <v>28</v>
      </c>
      <c r="C16" s="10" t="s">
        <v>29</v>
      </c>
      <c r="D16" s="10" t="s">
        <v>31</v>
      </c>
      <c r="E16" s="10" t="s">
        <v>40</v>
      </c>
      <c r="F16" s="10" t="s">
        <v>42</v>
      </c>
      <c r="G16" s="10" t="s">
        <v>37</v>
      </c>
      <c r="H16" s="10" t="s">
        <v>38</v>
      </c>
    </row>
    <row r="17" spans="2:8" x14ac:dyDescent="0.35">
      <c r="B17" s="7" t="s">
        <v>65</v>
      </c>
      <c r="C17" s="7" t="s">
        <v>51</v>
      </c>
      <c r="D17" s="7">
        <v>5200</v>
      </c>
      <c r="E17" s="7">
        <v>13.598765432098764</v>
      </c>
      <c r="F17" s="7">
        <v>5200</v>
      </c>
      <c r="G17" s="7">
        <v>1E+30</v>
      </c>
      <c r="H17" s="7">
        <v>5200</v>
      </c>
    </row>
    <row r="18" spans="2:8" x14ac:dyDescent="0.35">
      <c r="B18" s="7" t="s">
        <v>66</v>
      </c>
      <c r="C18" s="7" t="s">
        <v>52</v>
      </c>
      <c r="D18" s="7">
        <v>4888</v>
      </c>
      <c r="E18" s="7">
        <v>10.246913580247027</v>
      </c>
      <c r="F18" s="7">
        <v>0</v>
      </c>
      <c r="G18" s="7">
        <v>26.000000000000593</v>
      </c>
      <c r="H18" s="7">
        <v>184.59999999999948</v>
      </c>
    </row>
    <row r="19" spans="2:8" x14ac:dyDescent="0.35">
      <c r="B19" s="7" t="s">
        <v>67</v>
      </c>
      <c r="C19" s="7" t="s">
        <v>53</v>
      </c>
      <c r="D19" s="7">
        <v>4680</v>
      </c>
      <c r="E19" s="7">
        <v>17.777777777777864</v>
      </c>
      <c r="F19" s="7">
        <v>0</v>
      </c>
      <c r="G19" s="7">
        <v>117.36111111111111</v>
      </c>
      <c r="H19" s="7">
        <v>2.8888888888894897</v>
      </c>
    </row>
    <row r="20" spans="2:8" x14ac:dyDescent="0.35">
      <c r="B20" s="7" t="s">
        <v>68</v>
      </c>
      <c r="C20" s="7" t="s">
        <v>54</v>
      </c>
      <c r="D20" s="7">
        <v>70713.580246913596</v>
      </c>
      <c r="E20" s="7">
        <v>0</v>
      </c>
      <c r="F20" s="7">
        <v>0</v>
      </c>
      <c r="G20" s="7">
        <v>1E+30</v>
      </c>
      <c r="H20" s="7">
        <v>2086.4197530864149</v>
      </c>
    </row>
    <row r="21" spans="2:8" x14ac:dyDescent="0.35">
      <c r="B21" s="7" t="s">
        <v>69</v>
      </c>
      <c r="C21" s="7" t="s">
        <v>70</v>
      </c>
      <c r="D21" s="7">
        <v>2311.1111111111049</v>
      </c>
      <c r="E21" s="7">
        <v>0</v>
      </c>
      <c r="F21" s="7">
        <v>0</v>
      </c>
      <c r="G21" s="7">
        <v>1E+30</v>
      </c>
      <c r="H21" s="7">
        <v>288.88888888889517</v>
      </c>
    </row>
    <row r="22" spans="2:8" x14ac:dyDescent="0.35">
      <c r="B22" s="7" t="s">
        <v>71</v>
      </c>
      <c r="C22" s="7" t="s">
        <v>72</v>
      </c>
      <c r="D22" s="7">
        <v>2567.9012345678948</v>
      </c>
      <c r="E22" s="7">
        <v>0</v>
      </c>
      <c r="F22" s="7">
        <v>0</v>
      </c>
      <c r="G22" s="7">
        <v>1E+30</v>
      </c>
      <c r="H22" s="7">
        <v>32.09876543210536</v>
      </c>
    </row>
    <row r="23" spans="2:8" x14ac:dyDescent="0.35">
      <c r="B23" s="7" t="s">
        <v>73</v>
      </c>
      <c r="C23" s="7" t="s">
        <v>74</v>
      </c>
      <c r="D23" s="7">
        <v>0</v>
      </c>
      <c r="E23" s="7">
        <v>0</v>
      </c>
      <c r="F23" s="7">
        <v>0</v>
      </c>
      <c r="G23" s="7">
        <v>1E+30</v>
      </c>
      <c r="H23" s="7">
        <v>2600</v>
      </c>
    </row>
    <row r="24" spans="2:8" ht="15" thickBot="1" x14ac:dyDescent="0.4">
      <c r="B24" s="8" t="s">
        <v>75</v>
      </c>
      <c r="C24" s="8" t="s">
        <v>76</v>
      </c>
      <c r="D24" s="8">
        <v>320.98765432100066</v>
      </c>
      <c r="E24" s="8">
        <v>0</v>
      </c>
      <c r="F24" s="8">
        <v>0</v>
      </c>
      <c r="G24" s="8">
        <v>1E+30</v>
      </c>
      <c r="H24" s="8">
        <v>2279.0123456789997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5988BC-B88F-4521-9256-ED290D5C37AE}">
  <dimension ref="A1:I24"/>
  <sheetViews>
    <sheetView tabSelected="1" zoomScale="75" zoomScaleNormal="75" workbookViewId="0">
      <selection activeCell="F4" sqref="F4"/>
    </sheetView>
  </sheetViews>
  <sheetFormatPr defaultRowHeight="14.5" x14ac:dyDescent="0.35"/>
  <cols>
    <col min="1" max="1" width="23.7265625" customWidth="1"/>
    <col min="2" max="2" width="16.453125" bestFit="1" customWidth="1"/>
    <col min="3" max="3" width="12.36328125" bestFit="1" customWidth="1"/>
    <col min="4" max="4" width="21.54296875" bestFit="1" customWidth="1"/>
    <col min="5" max="5" width="19.1796875" bestFit="1" customWidth="1"/>
    <col min="6" max="6" width="21.08984375" bestFit="1" customWidth="1"/>
    <col min="8" max="8" width="21.08984375" bestFit="1" customWidth="1"/>
  </cols>
  <sheetData>
    <row r="1" spans="1:9" x14ac:dyDescent="0.35">
      <c r="A1" s="1" t="s">
        <v>0</v>
      </c>
    </row>
    <row r="3" spans="1:9" x14ac:dyDescent="0.35">
      <c r="A3" s="3"/>
      <c r="B3" s="4" t="s">
        <v>4</v>
      </c>
      <c r="C3" s="4" t="s">
        <v>8</v>
      </c>
      <c r="D3" s="4" t="s">
        <v>11</v>
      </c>
      <c r="E3" s="4" t="s">
        <v>12</v>
      </c>
      <c r="F3" s="4" t="s">
        <v>13</v>
      </c>
    </row>
    <row r="4" spans="1:9" x14ac:dyDescent="0.35">
      <c r="A4" s="4" t="s">
        <v>1</v>
      </c>
      <c r="B4" s="3" t="s">
        <v>5</v>
      </c>
      <c r="C4" s="17">
        <v>2311.1111111111049</v>
      </c>
      <c r="D4" s="3">
        <v>0.99</v>
      </c>
      <c r="E4" s="3">
        <v>0.95</v>
      </c>
      <c r="F4" s="3">
        <v>15</v>
      </c>
    </row>
    <row r="5" spans="1:9" x14ac:dyDescent="0.35">
      <c r="A5" s="4" t="s">
        <v>2</v>
      </c>
      <c r="B5" s="3" t="s">
        <v>6</v>
      </c>
      <c r="C5" s="17">
        <v>2567.9012345678948</v>
      </c>
      <c r="D5" s="3">
        <v>0.9</v>
      </c>
      <c r="E5" s="3">
        <v>0.85</v>
      </c>
      <c r="F5" s="3">
        <v>12.3</v>
      </c>
    </row>
    <row r="6" spans="1:9" x14ac:dyDescent="0.35">
      <c r="A6" s="4" t="s">
        <v>3</v>
      </c>
      <c r="B6" s="3" t="s">
        <v>7</v>
      </c>
      <c r="C6" s="17">
        <v>0</v>
      </c>
      <c r="D6" s="3">
        <v>0.95</v>
      </c>
      <c r="E6" s="3">
        <v>0.9</v>
      </c>
      <c r="F6" s="3">
        <v>14.5</v>
      </c>
    </row>
    <row r="7" spans="1:9" x14ac:dyDescent="0.35">
      <c r="A7" s="4" t="s">
        <v>9</v>
      </c>
      <c r="B7" s="3" t="s">
        <v>10</v>
      </c>
      <c r="C7" s="17">
        <v>320.98765432100066</v>
      </c>
      <c r="D7" s="3">
        <v>0.9</v>
      </c>
      <c r="E7" s="3">
        <v>0.94</v>
      </c>
      <c r="F7" s="3">
        <v>13.9</v>
      </c>
    </row>
    <row r="8" spans="1:9" x14ac:dyDescent="0.35">
      <c r="A8" s="2"/>
      <c r="B8" s="4" t="s">
        <v>56</v>
      </c>
      <c r="C8" s="29">
        <f>SUM(C4:C7)</f>
        <v>5200</v>
      </c>
      <c r="D8" s="2"/>
      <c r="E8" s="2"/>
      <c r="F8" s="2"/>
    </row>
    <row r="9" spans="1:9" x14ac:dyDescent="0.35">
      <c r="B9" s="5"/>
      <c r="C9" s="6"/>
    </row>
    <row r="10" spans="1:9" x14ac:dyDescent="0.35">
      <c r="A10" s="11" t="s">
        <v>14</v>
      </c>
    </row>
    <row r="11" spans="1:9" x14ac:dyDescent="0.35">
      <c r="A11" s="5" t="s">
        <v>15</v>
      </c>
      <c r="B11" s="12">
        <f>SUMPRODUCT(C4:C7,F4:F7)</f>
        <v>70713.580246913596</v>
      </c>
    </row>
    <row r="14" spans="1:9" x14ac:dyDescent="0.35">
      <c r="A14" s="1" t="s">
        <v>16</v>
      </c>
      <c r="F14" s="1" t="s">
        <v>62</v>
      </c>
    </row>
    <row r="15" spans="1:9" x14ac:dyDescent="0.35">
      <c r="A15" s="13"/>
      <c r="B15" s="4" t="s">
        <v>17</v>
      </c>
      <c r="C15" s="3"/>
      <c r="D15" s="4" t="s">
        <v>18</v>
      </c>
      <c r="F15" s="13"/>
      <c r="G15" s="4" t="s">
        <v>17</v>
      </c>
      <c r="H15" s="3"/>
      <c r="I15" s="4" t="s">
        <v>18</v>
      </c>
    </row>
    <row r="16" spans="1:9" ht="26" customHeight="1" x14ac:dyDescent="0.35">
      <c r="A16" s="16" t="s">
        <v>57</v>
      </c>
      <c r="B16" s="32">
        <f>G16</f>
        <v>5200</v>
      </c>
      <c r="C16" s="3" t="s">
        <v>21</v>
      </c>
      <c r="D16" s="32">
        <v>4500</v>
      </c>
      <c r="F16" s="14" t="s">
        <v>57</v>
      </c>
      <c r="G16" s="15">
        <f>C8</f>
        <v>5200</v>
      </c>
      <c r="H16" s="3" t="s">
        <v>21</v>
      </c>
      <c r="I16" s="15">
        <v>4200</v>
      </c>
    </row>
    <row r="17" spans="1:9" x14ac:dyDescent="0.35">
      <c r="A17" s="3" t="s">
        <v>19</v>
      </c>
      <c r="B17" s="32">
        <f>G17</f>
        <v>5200</v>
      </c>
      <c r="C17" s="3" t="s">
        <v>22</v>
      </c>
      <c r="D17" s="32">
        <f>I17</f>
        <v>5200</v>
      </c>
      <c r="F17" s="13" t="s">
        <v>19</v>
      </c>
      <c r="G17" s="15">
        <f>C8</f>
        <v>5200</v>
      </c>
      <c r="H17" s="3" t="s">
        <v>22</v>
      </c>
      <c r="I17" s="15">
        <v>5200</v>
      </c>
    </row>
    <row r="18" spans="1:9" x14ac:dyDescent="0.35">
      <c r="A18" s="3" t="s">
        <v>20</v>
      </c>
      <c r="B18" s="30">
        <f>G18/C8</f>
        <v>0.94</v>
      </c>
      <c r="C18" s="3" t="s">
        <v>21</v>
      </c>
      <c r="D18" s="31">
        <f>I18/C8</f>
        <v>0.94</v>
      </c>
      <c r="F18" s="13" t="s">
        <v>20</v>
      </c>
      <c r="G18" s="15">
        <f>SUMPRODUCT(C4:C7,D4:D7)</f>
        <v>4888</v>
      </c>
      <c r="H18" s="3" t="s">
        <v>21</v>
      </c>
      <c r="I18" s="15">
        <f>0.94*C8</f>
        <v>4888</v>
      </c>
    </row>
    <row r="19" spans="1:9" x14ac:dyDescent="0.35">
      <c r="A19" s="3" t="s">
        <v>23</v>
      </c>
      <c r="B19" s="30">
        <f>G19/C8</f>
        <v>0.9</v>
      </c>
      <c r="C19" s="3" t="s">
        <v>21</v>
      </c>
      <c r="D19" s="31">
        <f>I19/C8</f>
        <v>0.9</v>
      </c>
      <c r="F19" s="13" t="s">
        <v>23</v>
      </c>
      <c r="G19" s="15">
        <f>SUMPRODUCT(C4:C7,E4:E7)</f>
        <v>4680</v>
      </c>
      <c r="H19" s="3" t="s">
        <v>21</v>
      </c>
      <c r="I19" s="15">
        <f>0.9*C8</f>
        <v>4680</v>
      </c>
    </row>
    <row r="20" spans="1:9" x14ac:dyDescent="0.35">
      <c r="A20" s="3" t="s">
        <v>24</v>
      </c>
      <c r="B20" s="31">
        <f>G20/C8</f>
        <v>13.598765432098768</v>
      </c>
      <c r="C20" s="3" t="s">
        <v>25</v>
      </c>
      <c r="D20" s="32">
        <f>I20/C8</f>
        <v>14</v>
      </c>
      <c r="F20" s="13" t="s">
        <v>24</v>
      </c>
      <c r="G20" s="15">
        <f>SUMPRODUCT(C4:C7,F4:F7)</f>
        <v>70713.580246913596</v>
      </c>
      <c r="H20" s="3" t="s">
        <v>25</v>
      </c>
      <c r="I20" s="15">
        <f>14*C8</f>
        <v>72800</v>
      </c>
    </row>
    <row r="21" spans="1:9" x14ac:dyDescent="0.35">
      <c r="A21" s="3" t="s">
        <v>58</v>
      </c>
      <c r="B21" s="32">
        <f>G21</f>
        <v>2311.1111111111049</v>
      </c>
      <c r="C21" s="3" t="s">
        <v>25</v>
      </c>
      <c r="D21" s="32">
        <f>I21</f>
        <v>2600</v>
      </c>
      <c r="F21" s="13" t="s">
        <v>58</v>
      </c>
      <c r="G21" s="15">
        <f>C4</f>
        <v>2311.1111111111049</v>
      </c>
      <c r="H21" s="3" t="s">
        <v>25</v>
      </c>
      <c r="I21" s="15">
        <f>0.5*$C$8</f>
        <v>2600</v>
      </c>
    </row>
    <row r="22" spans="1:9" x14ac:dyDescent="0.35">
      <c r="A22" s="3" t="s">
        <v>59</v>
      </c>
      <c r="B22" s="32">
        <f>G22</f>
        <v>2567.9012345678948</v>
      </c>
      <c r="C22" s="3" t="s">
        <v>25</v>
      </c>
      <c r="D22" s="32">
        <f>I22</f>
        <v>2600</v>
      </c>
      <c r="F22" s="13" t="s">
        <v>59</v>
      </c>
      <c r="G22" s="15">
        <f>C5</f>
        <v>2567.9012345678948</v>
      </c>
      <c r="H22" s="3" t="s">
        <v>25</v>
      </c>
      <c r="I22" s="15">
        <f t="shared" ref="I22:I24" si="0">0.5*$C$8</f>
        <v>2600</v>
      </c>
    </row>
    <row r="23" spans="1:9" x14ac:dyDescent="0.35">
      <c r="A23" s="3" t="s">
        <v>60</v>
      </c>
      <c r="B23" s="32">
        <f>G23</f>
        <v>0</v>
      </c>
      <c r="C23" s="3" t="s">
        <v>25</v>
      </c>
      <c r="D23" s="32">
        <f>I23</f>
        <v>2600</v>
      </c>
      <c r="F23" s="13" t="s">
        <v>60</v>
      </c>
      <c r="G23" s="15">
        <f>C6</f>
        <v>0</v>
      </c>
      <c r="H23" s="3" t="s">
        <v>25</v>
      </c>
      <c r="I23" s="15">
        <f t="shared" si="0"/>
        <v>2600</v>
      </c>
    </row>
    <row r="24" spans="1:9" x14ac:dyDescent="0.35">
      <c r="A24" s="3" t="s">
        <v>61</v>
      </c>
      <c r="B24" s="32">
        <f>G24</f>
        <v>320.98765432100066</v>
      </c>
      <c r="C24" s="3" t="s">
        <v>25</v>
      </c>
      <c r="D24" s="32">
        <f>I24</f>
        <v>2600</v>
      </c>
      <c r="F24" s="13" t="s">
        <v>61</v>
      </c>
      <c r="G24" s="15">
        <f>C7</f>
        <v>320.98765432100066</v>
      </c>
      <c r="H24" s="3" t="s">
        <v>25</v>
      </c>
      <c r="I24" s="15">
        <f t="shared" si="0"/>
        <v>2600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5634D0-ACC9-407B-AA4D-C95A6045A1FC}">
  <dimension ref="A1:H24"/>
  <sheetViews>
    <sheetView showGridLines="0" topLeftCell="A4" zoomScale="81" zoomScaleNormal="81" workbookViewId="0">
      <selection activeCell="G19" sqref="G19"/>
    </sheetView>
  </sheetViews>
  <sheetFormatPr defaultRowHeight="14.5" x14ac:dyDescent="0.35"/>
  <cols>
    <col min="1" max="1" width="2.1796875" customWidth="1"/>
    <col min="2" max="2" width="6.08984375" bestFit="1" customWidth="1"/>
    <col min="3" max="3" width="24.6328125" bestFit="1" customWidth="1"/>
    <col min="4" max="5" width="11.81640625" bestFit="1" customWidth="1"/>
    <col min="6" max="6" width="10.1796875" bestFit="1" customWidth="1"/>
    <col min="7" max="7" width="11.81640625" bestFit="1" customWidth="1"/>
    <col min="8" max="8" width="14.81640625" bestFit="1" customWidth="1"/>
  </cols>
  <sheetData>
    <row r="1" spans="1:8" x14ac:dyDescent="0.35">
      <c r="A1" s="6" t="s">
        <v>26</v>
      </c>
    </row>
    <row r="2" spans="1:8" x14ac:dyDescent="0.35">
      <c r="A2" s="6" t="s">
        <v>130</v>
      </c>
    </row>
    <row r="3" spans="1:8" x14ac:dyDescent="0.35">
      <c r="A3" s="6" t="s">
        <v>131</v>
      </c>
    </row>
    <row r="6" spans="1:8" ht="15" thickBot="1" x14ac:dyDescent="0.4">
      <c r="A6" t="s">
        <v>27</v>
      </c>
    </row>
    <row r="7" spans="1:8" x14ac:dyDescent="0.35">
      <c r="B7" s="9"/>
      <c r="C7" s="9"/>
      <c r="D7" s="9" t="s">
        <v>30</v>
      </c>
      <c r="E7" s="9" t="s">
        <v>32</v>
      </c>
      <c r="F7" s="9" t="s">
        <v>34</v>
      </c>
      <c r="G7" s="9" t="s">
        <v>36</v>
      </c>
      <c r="H7" s="9" t="s">
        <v>36</v>
      </c>
    </row>
    <row r="8" spans="1:8" ht="15" thickBot="1" x14ac:dyDescent="0.4">
      <c r="B8" s="10" t="s">
        <v>28</v>
      </c>
      <c r="C8" s="10" t="s">
        <v>29</v>
      </c>
      <c r="D8" s="10" t="s">
        <v>31</v>
      </c>
      <c r="E8" s="10" t="s">
        <v>33</v>
      </c>
      <c r="F8" s="10" t="s">
        <v>35</v>
      </c>
      <c r="G8" s="10" t="s">
        <v>37</v>
      </c>
      <c r="H8" s="10" t="s">
        <v>38</v>
      </c>
    </row>
    <row r="9" spans="1:8" x14ac:dyDescent="0.35">
      <c r="B9" s="7" t="s">
        <v>43</v>
      </c>
      <c r="C9" s="7" t="s">
        <v>44</v>
      </c>
      <c r="D9" s="72">
        <v>2311.1111111111049</v>
      </c>
      <c r="E9" s="7">
        <v>0</v>
      </c>
      <c r="F9" s="7">
        <v>15</v>
      </c>
      <c r="G9" s="7">
        <v>1.4377777777778005</v>
      </c>
      <c r="H9" s="7">
        <v>0.92222222222223393</v>
      </c>
    </row>
    <row r="10" spans="1:8" x14ac:dyDescent="0.35">
      <c r="B10" s="7" t="s">
        <v>45</v>
      </c>
      <c r="C10" s="7" t="s">
        <v>46</v>
      </c>
      <c r="D10" s="72">
        <v>2567.9012345678948</v>
      </c>
      <c r="E10" s="7">
        <v>0</v>
      </c>
      <c r="F10" s="7">
        <v>12.3</v>
      </c>
      <c r="G10" s="7">
        <v>1.5780487804878165</v>
      </c>
      <c r="H10" s="7">
        <v>8.3000000000002476</v>
      </c>
    </row>
    <row r="11" spans="1:8" x14ac:dyDescent="0.35">
      <c r="B11" s="7" t="s">
        <v>47</v>
      </c>
      <c r="C11" s="7" t="s">
        <v>48</v>
      </c>
      <c r="D11" s="72">
        <v>0</v>
      </c>
      <c r="E11" s="7">
        <v>0.79876543209877204</v>
      </c>
      <c r="F11" s="7">
        <v>14.499999999999996</v>
      </c>
      <c r="G11" s="7">
        <v>1E+30</v>
      </c>
      <c r="H11" s="7">
        <v>0.79876543209877204</v>
      </c>
    </row>
    <row r="12" spans="1:8" ht="15" thickBot="1" x14ac:dyDescent="0.4">
      <c r="B12" s="8" t="s">
        <v>49</v>
      </c>
      <c r="C12" s="8" t="s">
        <v>50</v>
      </c>
      <c r="D12" s="73">
        <v>320.98765432100066</v>
      </c>
      <c r="E12" s="8">
        <v>0</v>
      </c>
      <c r="F12" s="8">
        <v>13.899999999999999</v>
      </c>
      <c r="G12" s="8">
        <v>0.83000000000001106</v>
      </c>
      <c r="H12" s="8">
        <v>1.6000000000000156</v>
      </c>
    </row>
    <row r="14" spans="1:8" ht="15" thickBot="1" x14ac:dyDescent="0.4">
      <c r="A14" t="s">
        <v>16</v>
      </c>
    </row>
    <row r="15" spans="1:8" x14ac:dyDescent="0.35">
      <c r="B15" s="9"/>
      <c r="C15" s="9"/>
      <c r="D15" s="9" t="s">
        <v>30</v>
      </c>
      <c r="E15" s="9" t="s">
        <v>39</v>
      </c>
      <c r="F15" s="9" t="s">
        <v>41</v>
      </c>
      <c r="G15" s="9" t="s">
        <v>36</v>
      </c>
      <c r="H15" s="9" t="s">
        <v>36</v>
      </c>
    </row>
    <row r="16" spans="1:8" ht="15" thickBot="1" x14ac:dyDescent="0.4">
      <c r="B16" s="10" t="s">
        <v>28</v>
      </c>
      <c r="C16" s="10" t="s">
        <v>29</v>
      </c>
      <c r="D16" s="10" t="s">
        <v>31</v>
      </c>
      <c r="E16" s="10" t="s">
        <v>40</v>
      </c>
      <c r="F16" s="10" t="s">
        <v>42</v>
      </c>
      <c r="G16" s="10" t="s">
        <v>37</v>
      </c>
      <c r="H16" s="10" t="s">
        <v>38</v>
      </c>
    </row>
    <row r="17" spans="2:8" x14ac:dyDescent="0.35">
      <c r="B17" s="7" t="s">
        <v>65</v>
      </c>
      <c r="C17" s="7" t="s">
        <v>51</v>
      </c>
      <c r="D17" s="7">
        <v>5200</v>
      </c>
      <c r="E17" s="7">
        <v>13.598765432098764</v>
      </c>
      <c r="F17" s="7">
        <v>5200</v>
      </c>
      <c r="G17" s="7">
        <v>1E+30</v>
      </c>
      <c r="H17" s="74">
        <v>5200</v>
      </c>
    </row>
    <row r="18" spans="2:8" x14ac:dyDescent="0.35">
      <c r="B18" s="7" t="s">
        <v>66</v>
      </c>
      <c r="C18" s="7" t="s">
        <v>52</v>
      </c>
      <c r="D18" s="70">
        <f>4888/5200</f>
        <v>0.94</v>
      </c>
      <c r="E18" s="7">
        <f>10.246913580247</f>
        <v>10.246913580247</v>
      </c>
      <c r="F18" s="7">
        <v>0</v>
      </c>
      <c r="G18" s="7">
        <f>26.0000000000006/5200</f>
        <v>5.0000000000001155E-3</v>
      </c>
      <c r="H18" s="74">
        <f>184.599999999999/5200</f>
        <v>3.5499999999999809E-2</v>
      </c>
    </row>
    <row r="19" spans="2:8" x14ac:dyDescent="0.35">
      <c r="B19" s="7" t="s">
        <v>67</v>
      </c>
      <c r="C19" s="7" t="s">
        <v>53</v>
      </c>
      <c r="D19" s="7">
        <f>4680/5200</f>
        <v>0.9</v>
      </c>
      <c r="E19" s="7">
        <f>17.7777777777779</f>
        <v>17.777777777777899</v>
      </c>
      <c r="F19" s="7">
        <v>0</v>
      </c>
      <c r="G19" s="7">
        <v>117.36111111111111</v>
      </c>
      <c r="H19" s="74">
        <f>2.88888888888949/5200</f>
        <v>5.5555555555567113E-4</v>
      </c>
    </row>
    <row r="20" spans="2:8" x14ac:dyDescent="0.35">
      <c r="B20" s="7" t="s">
        <v>68</v>
      </c>
      <c r="C20" s="7" t="s">
        <v>54</v>
      </c>
      <c r="D20" s="71">
        <f>70713.5802469136/5200</f>
        <v>13.598765432098768</v>
      </c>
      <c r="E20" s="7">
        <v>0</v>
      </c>
      <c r="F20" s="7">
        <v>0</v>
      </c>
      <c r="G20" s="7">
        <v>1E+30</v>
      </c>
      <c r="H20" s="74">
        <f>2086.41975308641/5200</f>
        <v>0.40123456790123269</v>
      </c>
    </row>
    <row r="21" spans="2:8" x14ac:dyDescent="0.35">
      <c r="B21" s="7" t="s">
        <v>69</v>
      </c>
      <c r="C21" s="7" t="s">
        <v>70</v>
      </c>
      <c r="D21" s="72">
        <v>2311.1111111111049</v>
      </c>
      <c r="E21" s="7">
        <v>0</v>
      </c>
      <c r="F21" s="7">
        <v>0</v>
      </c>
      <c r="G21" s="7">
        <v>1E+30</v>
      </c>
      <c r="H21" s="74">
        <v>288.88888888889517</v>
      </c>
    </row>
    <row r="22" spans="2:8" x14ac:dyDescent="0.35">
      <c r="B22" s="7" t="s">
        <v>71</v>
      </c>
      <c r="C22" s="7" t="s">
        <v>72</v>
      </c>
      <c r="D22" s="72">
        <v>2567.9012345678948</v>
      </c>
      <c r="E22" s="7">
        <v>0</v>
      </c>
      <c r="F22" s="7">
        <v>0</v>
      </c>
      <c r="G22" s="7">
        <v>1E+30</v>
      </c>
      <c r="H22" s="7">
        <v>32.09876543210536</v>
      </c>
    </row>
    <row r="23" spans="2:8" x14ac:dyDescent="0.35">
      <c r="B23" s="7" t="s">
        <v>73</v>
      </c>
      <c r="C23" s="7" t="s">
        <v>74</v>
      </c>
      <c r="D23" s="72">
        <v>0</v>
      </c>
      <c r="E23" s="7">
        <v>0</v>
      </c>
      <c r="F23" s="7">
        <v>0</v>
      </c>
      <c r="G23" s="7">
        <v>1E+30</v>
      </c>
      <c r="H23" s="7">
        <v>2600</v>
      </c>
    </row>
    <row r="24" spans="2:8" ht="15" thickBot="1" x14ac:dyDescent="0.4">
      <c r="B24" s="8" t="s">
        <v>75</v>
      </c>
      <c r="C24" s="8" t="s">
        <v>76</v>
      </c>
      <c r="D24" s="73">
        <v>320.98765432100066</v>
      </c>
      <c r="E24" s="8">
        <v>0</v>
      </c>
      <c r="F24" s="8">
        <v>0</v>
      </c>
      <c r="G24" s="8">
        <v>1E+30</v>
      </c>
      <c r="H24" s="8">
        <v>2279.0123456789997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279493D-7B2B-4952-95B5-4AEF960C443D}">
  <dimension ref="A1:K26"/>
  <sheetViews>
    <sheetView topLeftCell="A3" zoomScale="71" zoomScaleNormal="59" workbookViewId="0">
      <selection activeCell="K4" sqref="K4"/>
    </sheetView>
  </sheetViews>
  <sheetFormatPr defaultRowHeight="14.5" x14ac:dyDescent="0.35"/>
  <cols>
    <col min="6" max="6" width="11.81640625" bestFit="1" customWidth="1"/>
  </cols>
  <sheetData>
    <row r="1" spans="1:11" x14ac:dyDescent="0.35">
      <c r="A1" s="6" t="s">
        <v>133</v>
      </c>
      <c r="K1" s="21" t="str">
        <f>CONCATENATE("Sensitivity of ",$K$4," to ","Num of units")</f>
        <v>Sensitivity of $B$23 to Num of units</v>
      </c>
    </row>
    <row r="3" spans="1:11" x14ac:dyDescent="0.35">
      <c r="A3" t="s">
        <v>134</v>
      </c>
      <c r="K3" t="s">
        <v>83</v>
      </c>
    </row>
    <row r="4" spans="1:11" ht="32.5" x14ac:dyDescent="0.35">
      <c r="A4" s="2"/>
      <c r="B4" s="75" t="s">
        <v>86</v>
      </c>
      <c r="C4" s="75" t="s">
        <v>87</v>
      </c>
      <c r="D4" s="75" t="s">
        <v>88</v>
      </c>
      <c r="E4" s="75" t="s">
        <v>89</v>
      </c>
      <c r="F4" s="75" t="s">
        <v>82</v>
      </c>
      <c r="J4" s="21">
        <f>MATCH($K$4,OutputAddresses,0)</f>
        <v>3</v>
      </c>
      <c r="K4" s="20" t="s">
        <v>88</v>
      </c>
    </row>
    <row r="5" spans="1:11" x14ac:dyDescent="0.35">
      <c r="A5" s="2">
        <v>3000</v>
      </c>
      <c r="B5" s="76">
        <v>1333.3333333333298</v>
      </c>
      <c r="C5" s="77">
        <v>1481.4814814814779</v>
      </c>
      <c r="D5" s="77">
        <v>0</v>
      </c>
      <c r="E5" s="77">
        <v>185.18518518519272</v>
      </c>
      <c r="F5" s="78">
        <v>40796.300000000003</v>
      </c>
      <c r="K5">
        <f>INDEX(OutputValues,1,$J$4)</f>
        <v>0</v>
      </c>
    </row>
    <row r="6" spans="1:11" x14ac:dyDescent="0.35">
      <c r="A6" s="2">
        <v>3200</v>
      </c>
      <c r="B6" s="79">
        <v>1422.2222222222188</v>
      </c>
      <c r="C6" s="80">
        <v>1580.246913580243</v>
      </c>
      <c r="D6" s="80">
        <v>0</v>
      </c>
      <c r="E6" s="80">
        <v>197.5308641975389</v>
      </c>
      <c r="F6" s="81">
        <v>43516.05</v>
      </c>
      <c r="K6">
        <f>INDEX(OutputValues,2,$J$4)</f>
        <v>0</v>
      </c>
    </row>
    <row r="7" spans="1:11" x14ac:dyDescent="0.35">
      <c r="A7" s="2">
        <v>3400</v>
      </c>
      <c r="B7" s="79">
        <v>1511.1111111111072</v>
      </c>
      <c r="C7" s="80">
        <v>1679.0123456790084</v>
      </c>
      <c r="D7" s="80">
        <v>0</v>
      </c>
      <c r="E7" s="80">
        <v>209.87654320988503</v>
      </c>
      <c r="F7" s="81">
        <v>46235.8</v>
      </c>
      <c r="K7">
        <f>INDEX(OutputValues,3,$J$4)</f>
        <v>0</v>
      </c>
    </row>
    <row r="8" spans="1:11" x14ac:dyDescent="0.35">
      <c r="A8" s="2">
        <v>3600</v>
      </c>
      <c r="B8" s="79">
        <v>1599.9999999999959</v>
      </c>
      <c r="C8" s="80">
        <v>1777.7777777777735</v>
      </c>
      <c r="D8" s="80">
        <v>0</v>
      </c>
      <c r="E8" s="80">
        <v>222.22222222223124</v>
      </c>
      <c r="F8" s="81">
        <v>48955.56</v>
      </c>
      <c r="K8">
        <f>INDEX(OutputValues,4,$J$4)</f>
        <v>0</v>
      </c>
    </row>
    <row r="9" spans="1:11" x14ac:dyDescent="0.35">
      <c r="A9" s="2">
        <v>3800</v>
      </c>
      <c r="B9" s="79">
        <v>1688.8888888888846</v>
      </c>
      <c r="C9" s="80">
        <v>1876.5432098765389</v>
      </c>
      <c r="D9" s="80">
        <v>0</v>
      </c>
      <c r="E9" s="80">
        <v>234.5679012345775</v>
      </c>
      <c r="F9" s="81">
        <v>51675.31</v>
      </c>
      <c r="K9">
        <f>INDEX(OutputValues,5,$J$4)</f>
        <v>0</v>
      </c>
    </row>
    <row r="10" spans="1:11" x14ac:dyDescent="0.35">
      <c r="A10" s="2">
        <v>4000</v>
      </c>
      <c r="B10" s="79">
        <v>1777.7777777777733</v>
      </c>
      <c r="C10" s="80">
        <v>1975.3086419753038</v>
      </c>
      <c r="D10" s="80">
        <v>0</v>
      </c>
      <c r="E10" s="80">
        <v>246.9135802469236</v>
      </c>
      <c r="F10" s="81">
        <v>54395.06</v>
      </c>
      <c r="K10">
        <f>INDEX(OutputValues,6,$J$4)</f>
        <v>0</v>
      </c>
    </row>
    <row r="11" spans="1:11" x14ac:dyDescent="0.35">
      <c r="A11" s="2">
        <v>4200</v>
      </c>
      <c r="B11" s="79">
        <v>1866.6666666666617</v>
      </c>
      <c r="C11" s="80">
        <v>2074.0740740740689</v>
      </c>
      <c r="D11" s="80">
        <v>0</v>
      </c>
      <c r="E11" s="80">
        <v>259.25925925926975</v>
      </c>
      <c r="F11" s="81">
        <v>57114.81</v>
      </c>
      <c r="K11">
        <f>INDEX(OutputValues,7,$J$4)</f>
        <v>0</v>
      </c>
    </row>
    <row r="12" spans="1:11" x14ac:dyDescent="0.35">
      <c r="A12" s="2">
        <v>4400</v>
      </c>
      <c r="B12" s="79">
        <v>1955.5555555555504</v>
      </c>
      <c r="C12" s="80">
        <v>2172.8395061728343</v>
      </c>
      <c r="D12" s="80">
        <v>0</v>
      </c>
      <c r="E12" s="80">
        <v>271.60493827161588</v>
      </c>
      <c r="F12" s="81">
        <v>59834.57</v>
      </c>
      <c r="K12">
        <f>INDEX(OutputValues,8,$J$4)</f>
        <v>0</v>
      </c>
    </row>
    <row r="13" spans="1:11" x14ac:dyDescent="0.35">
      <c r="A13" s="2">
        <v>4600</v>
      </c>
      <c r="B13" s="79">
        <v>2044.4444444444391</v>
      </c>
      <c r="C13" s="80">
        <v>2271.6049382715992</v>
      </c>
      <c r="D13" s="80">
        <v>0</v>
      </c>
      <c r="E13" s="80">
        <v>283.95061728396212</v>
      </c>
      <c r="F13" s="81">
        <v>62554.32</v>
      </c>
      <c r="K13">
        <f>INDEX(OutputValues,9,$J$4)</f>
        <v>0</v>
      </c>
    </row>
    <row r="14" spans="1:11" x14ac:dyDescent="0.35">
      <c r="A14" s="2">
        <v>4800</v>
      </c>
      <c r="B14" s="79">
        <v>2133.3333333333276</v>
      </c>
      <c r="C14" s="80">
        <v>2370.3703703703645</v>
      </c>
      <c r="D14" s="80">
        <v>0</v>
      </c>
      <c r="E14" s="80">
        <v>296.29629629630841</v>
      </c>
      <c r="F14" s="81">
        <v>65274.07</v>
      </c>
      <c r="K14">
        <f>INDEX(OutputValues,10,$J$4)</f>
        <v>0</v>
      </c>
    </row>
    <row r="15" spans="1:11" x14ac:dyDescent="0.35">
      <c r="A15" s="2">
        <v>5000</v>
      </c>
      <c r="B15" s="79">
        <v>2222.2222222222163</v>
      </c>
      <c r="C15" s="80">
        <v>2469.1358024691299</v>
      </c>
      <c r="D15" s="80">
        <v>0</v>
      </c>
      <c r="E15" s="80">
        <v>308.64197530865442</v>
      </c>
      <c r="F15" s="81">
        <v>67993.83</v>
      </c>
      <c r="K15">
        <f>INDEX(OutputValues,11,$J$4)</f>
        <v>0</v>
      </c>
    </row>
    <row r="16" spans="1:11" x14ac:dyDescent="0.35">
      <c r="A16" s="2">
        <v>5200</v>
      </c>
      <c r="B16" s="79">
        <v>2311.1111111111049</v>
      </c>
      <c r="C16" s="80">
        <v>2567.9012345678948</v>
      </c>
      <c r="D16" s="80">
        <v>0</v>
      </c>
      <c r="E16" s="80">
        <v>320.98765432100066</v>
      </c>
      <c r="F16" s="81">
        <v>70713.58</v>
      </c>
      <c r="K16">
        <f>INDEX(OutputValues,12,$J$4)</f>
        <v>0</v>
      </c>
    </row>
    <row r="17" spans="1:11" x14ac:dyDescent="0.35">
      <c r="A17" s="2">
        <v>5400</v>
      </c>
      <c r="B17" s="79">
        <v>2399.9999999999936</v>
      </c>
      <c r="C17" s="80">
        <v>2666.6666666666601</v>
      </c>
      <c r="D17" s="80">
        <v>0</v>
      </c>
      <c r="E17" s="80">
        <v>333.33333333334673</v>
      </c>
      <c r="F17" s="81">
        <v>73433.33</v>
      </c>
      <c r="K17">
        <f>INDEX(OutputValues,13,$J$4)</f>
        <v>0</v>
      </c>
    </row>
    <row r="18" spans="1:11" x14ac:dyDescent="0.35">
      <c r="A18" s="2">
        <v>5600</v>
      </c>
      <c r="B18" s="79">
        <v>2488.8888888888823</v>
      </c>
      <c r="C18" s="80">
        <v>2765.4320987654255</v>
      </c>
      <c r="D18" s="80">
        <v>0</v>
      </c>
      <c r="E18" s="80">
        <v>345.67901234569297</v>
      </c>
      <c r="F18" s="81">
        <v>76153.09</v>
      </c>
      <c r="K18">
        <f>INDEX(OutputValues,14,$J$4)</f>
        <v>0</v>
      </c>
    </row>
    <row r="19" spans="1:11" x14ac:dyDescent="0.35">
      <c r="A19" s="2">
        <v>5800</v>
      </c>
      <c r="B19" s="79">
        <v>2577.777777777771</v>
      </c>
      <c r="C19" s="80">
        <v>2864.1975308641904</v>
      </c>
      <c r="D19" s="80">
        <v>0</v>
      </c>
      <c r="E19" s="80">
        <v>358.02469135803921</v>
      </c>
      <c r="F19" s="81">
        <v>78872.84</v>
      </c>
      <c r="K19">
        <f>INDEX(OutputValues,15,$J$4)</f>
        <v>0</v>
      </c>
    </row>
    <row r="20" spans="1:11" x14ac:dyDescent="0.35">
      <c r="A20" s="2">
        <v>6000</v>
      </c>
      <c r="B20" s="79">
        <v>2666.6666666666597</v>
      </c>
      <c r="C20" s="80">
        <v>2962.9629629629558</v>
      </c>
      <c r="D20" s="80">
        <v>0</v>
      </c>
      <c r="E20" s="80">
        <v>370.37037037038544</v>
      </c>
      <c r="F20" s="81">
        <v>81592.59</v>
      </c>
      <c r="K20">
        <f>INDEX(OutputValues,16,$J$4)</f>
        <v>0</v>
      </c>
    </row>
    <row r="21" spans="1:11" x14ac:dyDescent="0.35">
      <c r="A21" s="2">
        <v>6200</v>
      </c>
      <c r="B21" s="79">
        <v>2755.5555555555484</v>
      </c>
      <c r="C21" s="80">
        <v>3061.7283950617211</v>
      </c>
      <c r="D21" s="80">
        <v>0</v>
      </c>
      <c r="E21" s="80">
        <v>382.71604938273163</v>
      </c>
      <c r="F21" s="81">
        <v>84312.35</v>
      </c>
      <c r="K21">
        <f>INDEX(OutputValues,17,$J$4)</f>
        <v>0</v>
      </c>
    </row>
    <row r="22" spans="1:11" x14ac:dyDescent="0.35">
      <c r="A22" s="2">
        <v>6400</v>
      </c>
      <c r="B22" s="79">
        <v>2844.4444444444375</v>
      </c>
      <c r="C22" s="80">
        <v>3160.493827160486</v>
      </c>
      <c r="D22" s="80">
        <v>0</v>
      </c>
      <c r="E22" s="80">
        <v>395.06172839507781</v>
      </c>
      <c r="F22" s="81">
        <v>87032.1</v>
      </c>
      <c r="K22">
        <f>INDEX(OutputValues,18,$J$4)</f>
        <v>0</v>
      </c>
    </row>
    <row r="23" spans="1:11" x14ac:dyDescent="0.35">
      <c r="A23" s="2">
        <v>6600</v>
      </c>
      <c r="B23" s="79">
        <v>2933.3333333333258</v>
      </c>
      <c r="C23" s="80">
        <v>3259.2592592592509</v>
      </c>
      <c r="D23" s="80">
        <v>0</v>
      </c>
      <c r="E23" s="80">
        <v>407.40740740742388</v>
      </c>
      <c r="F23" s="81">
        <v>89751.85</v>
      </c>
      <c r="K23">
        <f>INDEX(OutputValues,19,$J$4)</f>
        <v>0</v>
      </c>
    </row>
    <row r="24" spans="1:11" x14ac:dyDescent="0.35">
      <c r="A24" s="2">
        <v>6800</v>
      </c>
      <c r="B24" s="79">
        <v>3022.2222222222144</v>
      </c>
      <c r="C24" s="80">
        <v>3358.0246913580168</v>
      </c>
      <c r="D24" s="80">
        <v>0</v>
      </c>
      <c r="E24" s="80">
        <v>419.75308641977006</v>
      </c>
      <c r="F24" s="81">
        <v>92471.6</v>
      </c>
      <c r="K24">
        <f>INDEX(OutputValues,20,$J$4)</f>
        <v>0</v>
      </c>
    </row>
    <row r="25" spans="1:11" x14ac:dyDescent="0.35">
      <c r="A25" s="2">
        <v>7000</v>
      </c>
      <c r="B25" s="82">
        <v>3111.1111111111031</v>
      </c>
      <c r="C25" s="83">
        <v>3456.7901234567812</v>
      </c>
      <c r="D25" s="83">
        <v>0</v>
      </c>
      <c r="E25" s="83">
        <v>432.09876543211624</v>
      </c>
      <c r="F25" s="84">
        <v>95191.360000000001</v>
      </c>
      <c r="K25">
        <f>INDEX(OutputValues,21,$J$4)</f>
        <v>0</v>
      </c>
    </row>
    <row r="26" spans="1:11" x14ac:dyDescent="0.35">
      <c r="B26" s="5" t="s">
        <v>1</v>
      </c>
      <c r="C26" s="5" t="s">
        <v>2</v>
      </c>
      <c r="D26" s="5" t="s">
        <v>3</v>
      </c>
      <c r="E26" s="5" t="s">
        <v>9</v>
      </c>
      <c r="F26" s="5" t="s">
        <v>143</v>
      </c>
    </row>
  </sheetData>
  <dataValidations count="1">
    <dataValidation type="list" allowBlank="1" showInputMessage="1" showErrorMessage="1" sqref="K4" xr:uid="{D23E21A4-B08E-473B-8BF7-74FC0530F696}">
      <formula1>OutputAddresses</formula1>
    </dataValidation>
  </dataValidations>
  <pageMargins left="0.7" right="0.7" top="0.75" bottom="0.75" header="0.3" footer="0.3"/>
  <drawing r:id="rId1"/>
  <legacy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ED2392084667C941B4158023E5BD8247" ma:contentTypeVersion="8" ma:contentTypeDescription="Create a new document." ma:contentTypeScope="" ma:versionID="d9c7acfb1e172e720436c84de733129d">
  <xsd:schema xmlns:xsd="http://www.w3.org/2001/XMLSchema" xmlns:xs="http://www.w3.org/2001/XMLSchema" xmlns:p="http://schemas.microsoft.com/office/2006/metadata/properties" xmlns:ns3="b8d26b6d-dc24-4f3a-bd94-3f549135ccd6" xmlns:ns4="7d2436ec-5db6-457c-a899-89399e4c214e" targetNamespace="http://schemas.microsoft.com/office/2006/metadata/properties" ma:root="true" ma:fieldsID="6f203802c55d2e1258f8155ef6d1c7d2" ns3:_="" ns4:_="">
    <xsd:import namespace="b8d26b6d-dc24-4f3a-bd94-3f549135ccd6"/>
    <xsd:import namespace="7d2436ec-5db6-457c-a899-89399e4c214e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  <xsd:element ref="ns3:_activity" minOccurs="0"/>
                <xsd:element ref="ns4:SharedWithUsers" minOccurs="0"/>
                <xsd:element ref="ns4:SharedWithDetails" minOccurs="0"/>
                <xsd:element ref="ns4:SharingHintHash" minOccurs="0"/>
                <xsd:element ref="ns3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8d26b6d-dc24-4f3a-bd94-3f549135ccd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_activity" ma:index="11" nillable="true" ma:displayName="_activity" ma:hidden="true" ma:internalName="_activity">
      <xsd:simpleType>
        <xsd:restriction base="dms:Note"/>
      </xsd:simpleType>
    </xsd:element>
    <xsd:element name="MediaServiceSearchProperties" ma:index="15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d2436ec-5db6-457c-a899-89399e4c214e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4" nillable="true" ma:displayName="Sharing Hint Hash" ma:hidden="true" ma:internalName="SharingHintHash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b8d26b6d-dc24-4f3a-bd94-3f549135ccd6" xsi:nil="true"/>
  </documentManagement>
</p:properties>
</file>

<file path=customXml/itemProps1.xml><?xml version="1.0" encoding="utf-8"?>
<ds:datastoreItem xmlns:ds="http://schemas.openxmlformats.org/officeDocument/2006/customXml" ds:itemID="{B8EBF92A-F1BE-4D87-9640-846E476EEED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8d26b6d-dc24-4f3a-bd94-3f549135ccd6"/>
    <ds:schemaRef ds:uri="7d2436ec-5db6-457c-a899-89399e4c214e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691749FF-F75B-4CE9-95EB-59447F4C251C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C363A0E7-8BA1-4084-94E6-B4780BF842F5}">
  <ds:schemaRefs>
    <ds:schemaRef ds:uri="http://purl.org/dc/elements/1.1/"/>
    <ds:schemaRef ds:uri="http://purl.org/dc/terms/"/>
    <ds:schemaRef ds:uri="http://schemas.microsoft.com/office/2006/documentManagement/types"/>
    <ds:schemaRef ds:uri="http://purl.org/dc/dcmitype/"/>
    <ds:schemaRef ds:uri="http://schemas.microsoft.com/office/2006/metadata/properties"/>
    <ds:schemaRef ds:uri="http://schemas.microsoft.com/office/infopath/2007/PartnerControls"/>
    <ds:schemaRef ds:uri="http://schemas.openxmlformats.org/package/2006/metadata/core-properties"/>
    <ds:schemaRef ds:uri="7d2436ec-5db6-457c-a899-89399e4c214e"/>
    <ds:schemaRef ds:uri="b8d26b6d-dc24-4f3a-bd94-3f549135ccd6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71</vt:i4>
      </vt:variant>
    </vt:vector>
  </HeadingPairs>
  <TitlesOfParts>
    <vt:vector size="90" baseType="lpstr">
      <vt:lpstr>Sensitivity Report 1</vt:lpstr>
      <vt:lpstr>Sensitivity Report 3</vt:lpstr>
      <vt:lpstr>LP</vt:lpstr>
      <vt:lpstr>STS_5</vt:lpstr>
      <vt:lpstr>LP_Dummy</vt:lpstr>
      <vt:lpstr>Sensitivity Report 2</vt:lpstr>
      <vt:lpstr>Linear Programming model</vt:lpstr>
      <vt:lpstr>Sensitivity Report</vt:lpstr>
      <vt:lpstr>1 way Solver table</vt:lpstr>
      <vt:lpstr>2 Way Solver table</vt:lpstr>
      <vt:lpstr>ILP</vt:lpstr>
      <vt:lpstr>ILP_1S</vt:lpstr>
      <vt:lpstr>ILP_2S</vt:lpstr>
      <vt:lpstr>Sensitivity Report ORG </vt:lpstr>
      <vt:lpstr>STS_1</vt:lpstr>
      <vt:lpstr>LP_1way</vt:lpstr>
      <vt:lpstr>STS_2</vt:lpstr>
      <vt:lpstr>STS_3</vt:lpstr>
      <vt:lpstr>STS_4</vt:lpstr>
      <vt:lpstr>'1 way Solver table'!ChartData</vt:lpstr>
      <vt:lpstr>ILP_1S!ChartData</vt:lpstr>
      <vt:lpstr>LP_1way!ChartData</vt:lpstr>
      <vt:lpstr>STS_1!ChartData</vt:lpstr>
      <vt:lpstr>STS_5!ChartData</vt:lpstr>
      <vt:lpstr>'2 Way Solver table'!ChartData1</vt:lpstr>
      <vt:lpstr>ILP_2S!ChartData1</vt:lpstr>
      <vt:lpstr>STS_2!ChartData1</vt:lpstr>
      <vt:lpstr>STS_3!ChartData1</vt:lpstr>
      <vt:lpstr>STS_4!ChartData1</vt:lpstr>
      <vt:lpstr>'2 Way Solver table'!ChartData2</vt:lpstr>
      <vt:lpstr>ILP_2S!ChartData2</vt:lpstr>
      <vt:lpstr>STS_2!ChartData2</vt:lpstr>
      <vt:lpstr>STS_3!ChartData2</vt:lpstr>
      <vt:lpstr>STS_4!ChartData2</vt:lpstr>
      <vt:lpstr>'1 way Solver table'!InputValues</vt:lpstr>
      <vt:lpstr>ILP_1S!InputValues</vt:lpstr>
      <vt:lpstr>LP_1way!InputValues</vt:lpstr>
      <vt:lpstr>STS_1!InputValues</vt:lpstr>
      <vt:lpstr>STS_5!InputValues</vt:lpstr>
      <vt:lpstr>'2 Way Solver table'!InputValues1</vt:lpstr>
      <vt:lpstr>ILP_2S!InputValues1</vt:lpstr>
      <vt:lpstr>STS_2!InputValues1</vt:lpstr>
      <vt:lpstr>STS_3!InputValues1</vt:lpstr>
      <vt:lpstr>STS_4!InputValues1</vt:lpstr>
      <vt:lpstr>'2 Way Solver table'!InputValues2</vt:lpstr>
      <vt:lpstr>ILP_2S!InputValues2</vt:lpstr>
      <vt:lpstr>STS_2!InputValues2</vt:lpstr>
      <vt:lpstr>STS_3!InputValues2</vt:lpstr>
      <vt:lpstr>STS_4!InputValues2</vt:lpstr>
      <vt:lpstr>'1 way Solver table'!OutputAddresses</vt:lpstr>
      <vt:lpstr>'2 Way Solver table'!OutputAddresses</vt:lpstr>
      <vt:lpstr>ILP_1S!OutputAddresses</vt:lpstr>
      <vt:lpstr>ILP_2S!OutputAddresses</vt:lpstr>
      <vt:lpstr>LP_1way!OutputAddresses</vt:lpstr>
      <vt:lpstr>STS_1!OutputAddresses</vt:lpstr>
      <vt:lpstr>STS_2!OutputAddresses</vt:lpstr>
      <vt:lpstr>STS_3!OutputAddresses</vt:lpstr>
      <vt:lpstr>STS_4!OutputAddresses</vt:lpstr>
      <vt:lpstr>STS_5!OutputAddresses</vt:lpstr>
      <vt:lpstr>'1 way Solver table'!OutputValues</vt:lpstr>
      <vt:lpstr>ILP_1S!OutputValues</vt:lpstr>
      <vt:lpstr>LP_1way!OutputValues</vt:lpstr>
      <vt:lpstr>STS_1!OutputValues</vt:lpstr>
      <vt:lpstr>STS_5!OutputValues</vt:lpstr>
      <vt:lpstr>'2 Way Solver table'!OutputValues_1</vt:lpstr>
      <vt:lpstr>ILP_2S!OutputValues_1</vt:lpstr>
      <vt:lpstr>STS_2!OutputValues_1</vt:lpstr>
      <vt:lpstr>STS_3!OutputValues_1</vt:lpstr>
      <vt:lpstr>STS_4!OutputValues_1</vt:lpstr>
      <vt:lpstr>'2 Way Solver table'!OutputValues_2</vt:lpstr>
      <vt:lpstr>ILP_2S!OutputValues_2</vt:lpstr>
      <vt:lpstr>STS_2!OutputValues_2</vt:lpstr>
      <vt:lpstr>STS_3!OutputValues_2</vt:lpstr>
      <vt:lpstr>STS_4!OutputValues_2</vt:lpstr>
      <vt:lpstr>'2 Way Solver table'!OutputValues_3</vt:lpstr>
      <vt:lpstr>ILP_2S!OutputValues_3</vt:lpstr>
      <vt:lpstr>STS_2!OutputValues_3</vt:lpstr>
      <vt:lpstr>STS_3!OutputValues_3</vt:lpstr>
      <vt:lpstr>STS_4!OutputValues_3</vt:lpstr>
      <vt:lpstr>'2 Way Solver table'!OutputValues_4</vt:lpstr>
      <vt:lpstr>ILP_2S!OutputValues_4</vt:lpstr>
      <vt:lpstr>STS_2!OutputValues_4</vt:lpstr>
      <vt:lpstr>STS_3!OutputValues_4</vt:lpstr>
      <vt:lpstr>STS_4!OutputValues_4</vt:lpstr>
      <vt:lpstr>'2 Way Solver table'!OutputValues_5</vt:lpstr>
      <vt:lpstr>ILP_2S!OutputValues_5</vt:lpstr>
      <vt:lpstr>STS_2!OutputValues_5</vt:lpstr>
      <vt:lpstr>STS_3!OutputValues_5</vt:lpstr>
      <vt:lpstr>STS_4!OutputValues_5</vt:lpstr>
      <vt:lpstr>'2 Way Solver table'!OutputValues_6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Abhi Ram Sai Lakkavarapu</dc:creator>
  <cp:lastModifiedBy>Abhi Ram Sai Lakkavarapu</cp:lastModifiedBy>
  <dcterms:created xsi:type="dcterms:W3CDTF">2024-03-07T06:55:24Z</dcterms:created>
  <dcterms:modified xsi:type="dcterms:W3CDTF">2024-04-04T18:24:06Z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0x010100ED2392084667C941B4158023E5BD8247</vt:lpwstr>
  </property>
</Properties>
</file>