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der Report(X)" sheetId="1" r:id="rId4"/>
    <sheet state="hidden" name="SKU Master (X)" sheetId="2" r:id="rId5"/>
    <sheet state="hidden" name="Pincode Zone (X)" sheetId="3" r:id="rId6"/>
    <sheet state="hidden" name="Invoice (Courier)" sheetId="4" r:id="rId7"/>
    <sheet state="hidden" name="Rates (Courier)" sheetId="5" r:id="rId8"/>
    <sheet state="hidden" name="charge status (Rough work)" sheetId="6" r:id="rId9"/>
    <sheet state="hidden" name="(Rough work)" sheetId="7" r:id="rId10"/>
    <sheet state="visible" name="Calculations" sheetId="8" r:id="rId11"/>
    <sheet state="visible" name="Summary" sheetId="9" r:id="rId12"/>
  </sheets>
  <definedNames/>
  <calcPr/>
  <pivotCaches>
    <pivotCache cacheId="0" r:id="rId13"/>
  </pivotCaches>
</workbook>
</file>

<file path=xl/sharedStrings.xml><?xml version="1.0" encoding="utf-8"?>
<sst xmlns="http://schemas.openxmlformats.org/spreadsheetml/2006/main" count="2124" uniqueCount="436">
  <si>
    <t>ExternOrderNo</t>
  </si>
  <si>
    <t>SKU</t>
  </si>
  <si>
    <t>Weight(g)</t>
  </si>
  <si>
    <t>Order Qty</t>
  </si>
  <si>
    <t>Total weight (g)</t>
  </si>
  <si>
    <t>SUM of Total weight (g)</t>
  </si>
  <si>
    <t>2001827036</t>
  </si>
  <si>
    <t>1.00</t>
  </si>
  <si>
    <t>2001806210</t>
  </si>
  <si>
    <t>2001806226</t>
  </si>
  <si>
    <t>2001806229</t>
  </si>
  <si>
    <t>2001806232</t>
  </si>
  <si>
    <t>2001806233</t>
  </si>
  <si>
    <t>GIFTBOX202002</t>
  </si>
  <si>
    <t>2001806251</t>
  </si>
  <si>
    <t>2.00</t>
  </si>
  <si>
    <t>2001806273</t>
  </si>
  <si>
    <t>SACHETS001</t>
  </si>
  <si>
    <t>2001806304</t>
  </si>
  <si>
    <t>2001825261</t>
  </si>
  <si>
    <t>4.00</t>
  </si>
  <si>
    <t>2001806338</t>
  </si>
  <si>
    <t>2001806408</t>
  </si>
  <si>
    <t>3.00</t>
  </si>
  <si>
    <t>2001806446</t>
  </si>
  <si>
    <t>2001806458</t>
  </si>
  <si>
    <t>2001806471</t>
  </si>
  <si>
    <t>2001823564</t>
  </si>
  <si>
    <t>2001806533</t>
  </si>
  <si>
    <t>2001806547</t>
  </si>
  <si>
    <t>2001806567</t>
  </si>
  <si>
    <t>2001822466</t>
  </si>
  <si>
    <t>2001806575</t>
  </si>
  <si>
    <t>8.00</t>
  </si>
  <si>
    <t>2001806616</t>
  </si>
  <si>
    <t>2001821995</t>
  </si>
  <si>
    <t>2001806652</t>
  </si>
  <si>
    <t>2001806686</t>
  </si>
  <si>
    <t>2001821766</t>
  </si>
  <si>
    <t>2001806726</t>
  </si>
  <si>
    <t>2001821750</t>
  </si>
  <si>
    <t>2001806733</t>
  </si>
  <si>
    <t>2001806735</t>
  </si>
  <si>
    <t>2001806768</t>
  </si>
  <si>
    <t>2001821742</t>
  </si>
  <si>
    <t>2001806776</t>
  </si>
  <si>
    <t>2001821679</t>
  </si>
  <si>
    <t>2001806801</t>
  </si>
  <si>
    <t>2001821502</t>
  </si>
  <si>
    <t>2001806823</t>
  </si>
  <si>
    <t>2001806828</t>
  </si>
  <si>
    <t>2001806885</t>
  </si>
  <si>
    <t>2001821284</t>
  </si>
  <si>
    <t>2001806968</t>
  </si>
  <si>
    <t>2001807004</t>
  </si>
  <si>
    <t>2001821190</t>
  </si>
  <si>
    <t>2001807012</t>
  </si>
  <si>
    <t>2001807036</t>
  </si>
  <si>
    <t>2001821185</t>
  </si>
  <si>
    <t>2001807058</t>
  </si>
  <si>
    <t>2001807084</t>
  </si>
  <si>
    <t>2001807186</t>
  </si>
  <si>
    <t>2001807241</t>
  </si>
  <si>
    <t>2001807290</t>
  </si>
  <si>
    <t>2001807328</t>
  </si>
  <si>
    <t>2001807329</t>
  </si>
  <si>
    <t>2001807362</t>
  </si>
  <si>
    <t>2001820978</t>
  </si>
  <si>
    <t>2001807415</t>
  </si>
  <si>
    <t>2001807613</t>
  </si>
  <si>
    <t>2001820690</t>
  </si>
  <si>
    <t>2001807785</t>
  </si>
  <si>
    <t>2001819252</t>
  </si>
  <si>
    <t>2001807814</t>
  </si>
  <si>
    <t>2001807852</t>
  </si>
  <si>
    <t>2001807930</t>
  </si>
  <si>
    <t>2001818390</t>
  </si>
  <si>
    <t>2001807931</t>
  </si>
  <si>
    <t>2001807956</t>
  </si>
  <si>
    <t>2001807960</t>
  </si>
  <si>
    <t>2001817160</t>
  </si>
  <si>
    <t>2001807970</t>
  </si>
  <si>
    <t>2001807976</t>
  </si>
  <si>
    <t>2001817093</t>
  </si>
  <si>
    <t>2001807981</t>
  </si>
  <si>
    <t>2001808102</t>
  </si>
  <si>
    <t>2001808118</t>
  </si>
  <si>
    <t>2001808207</t>
  </si>
  <si>
    <t>2001808286</t>
  </si>
  <si>
    <t>2001808295</t>
  </si>
  <si>
    <t>2001808475</t>
  </si>
  <si>
    <t>2001808507</t>
  </si>
  <si>
    <t>2001816996</t>
  </si>
  <si>
    <t>2001808542</t>
  </si>
  <si>
    <t>2001808585</t>
  </si>
  <si>
    <t>2001808675</t>
  </si>
  <si>
    <t>2001816684</t>
  </si>
  <si>
    <t>2001808679</t>
  </si>
  <si>
    <t>2001808739</t>
  </si>
  <si>
    <t>2001808801</t>
  </si>
  <si>
    <t>2001816131</t>
  </si>
  <si>
    <t>2001808832</t>
  </si>
  <si>
    <t>2001808837</t>
  </si>
  <si>
    <t>2001815688</t>
  </si>
  <si>
    <t>2001808883</t>
  </si>
  <si>
    <t>2001808992</t>
  </si>
  <si>
    <t>2001814580</t>
  </si>
  <si>
    <t>2001809270</t>
  </si>
  <si>
    <t>2001813009</t>
  </si>
  <si>
    <t>2001809383</t>
  </si>
  <si>
    <t>2001809592</t>
  </si>
  <si>
    <t>2001809794</t>
  </si>
  <si>
    <t>2001809820</t>
  </si>
  <si>
    <t>2001809917</t>
  </si>
  <si>
    <t>2001812941</t>
  </si>
  <si>
    <t>2001809934</t>
  </si>
  <si>
    <t>2001810104</t>
  </si>
  <si>
    <t>2001810125</t>
  </si>
  <si>
    <t>2001812854</t>
  </si>
  <si>
    <t>2001810281</t>
  </si>
  <si>
    <t>2001810549</t>
  </si>
  <si>
    <t>2001810697</t>
  </si>
  <si>
    <t>2001811039</t>
  </si>
  <si>
    <t>GIFTBOX202003</t>
  </si>
  <si>
    <t>2001811058</t>
  </si>
  <si>
    <t>2001811153</t>
  </si>
  <si>
    <t>2001811192</t>
  </si>
  <si>
    <t>2001811229</t>
  </si>
  <si>
    <t>2001812838</t>
  </si>
  <si>
    <t>2001811305</t>
  </si>
  <si>
    <t>2001811306</t>
  </si>
  <si>
    <t>2001812650</t>
  </si>
  <si>
    <t>2001811363</t>
  </si>
  <si>
    <t>2001811466</t>
  </si>
  <si>
    <t>2001812195</t>
  </si>
  <si>
    <t>2001811475</t>
  </si>
  <si>
    <t>2001811604</t>
  </si>
  <si>
    <t>2001811809</t>
  </si>
  <si>
    <t>GIFTBOX202004</t>
  </si>
  <si>
    <t>GIFTBOX202001</t>
  </si>
  <si>
    <t>6.00</t>
  </si>
  <si>
    <t>Weight (g)</t>
  </si>
  <si>
    <t>Warehouse Pincode</t>
  </si>
  <si>
    <t>Customer Pincode</t>
  </si>
  <si>
    <t>Zone</t>
  </si>
  <si>
    <t>Zone by vlookup</t>
  </si>
  <si>
    <t>check</t>
  </si>
  <si>
    <t>b</t>
  </si>
  <si>
    <t>e</t>
  </si>
  <si>
    <t>d</t>
  </si>
  <si>
    <t>AWB Code</t>
  </si>
  <si>
    <t>Order ID</t>
  </si>
  <si>
    <t>Charged Weight</t>
  </si>
  <si>
    <t>Type of Shipment</t>
  </si>
  <si>
    <t>Billing Amount (Rs.)</t>
  </si>
  <si>
    <t>1091117221940</t>
  </si>
  <si>
    <t>140604</t>
  </si>
  <si>
    <t>Forward charges</t>
  </si>
  <si>
    <t>1091117222065</t>
  </si>
  <si>
    <t>723146</t>
  </si>
  <si>
    <t>1091117222080</t>
  </si>
  <si>
    <t>421204</t>
  </si>
  <si>
    <t>1091117222124</t>
  </si>
  <si>
    <t>507101</t>
  </si>
  <si>
    <t>1091117222135</t>
  </si>
  <si>
    <t>263139</t>
  </si>
  <si>
    <t>1091117222146</t>
  </si>
  <si>
    <t>743263</t>
  </si>
  <si>
    <t>1091117222194</t>
  </si>
  <si>
    <t>486886</t>
  </si>
  <si>
    <t>1091117222360</t>
  </si>
  <si>
    <t>302017</t>
  </si>
  <si>
    <t>1091117222570</t>
  </si>
  <si>
    <t>392150</t>
  </si>
  <si>
    <t>1091117222931</t>
  </si>
  <si>
    <t>532484</t>
  </si>
  <si>
    <t>1091117223211</t>
  </si>
  <si>
    <t>382830</t>
  </si>
  <si>
    <t>1091117223244</t>
  </si>
  <si>
    <t>143001</t>
  </si>
  <si>
    <t>1091117223351</t>
  </si>
  <si>
    <t>313027</t>
  </si>
  <si>
    <t>1091117224353</t>
  </si>
  <si>
    <t>711303</t>
  </si>
  <si>
    <t>1091117224611</t>
  </si>
  <si>
    <t>283102</t>
  </si>
  <si>
    <t>1091117224902</t>
  </si>
  <si>
    <t>370201</t>
  </si>
  <si>
    <t>1091117225016</t>
  </si>
  <si>
    <t>248001</t>
  </si>
  <si>
    <t>1091117225484</t>
  </si>
  <si>
    <t>144001</t>
  </si>
  <si>
    <t>1091117226221</t>
  </si>
  <si>
    <t>403401</t>
  </si>
  <si>
    <t>1091117226674</t>
  </si>
  <si>
    <t>452001</t>
  </si>
  <si>
    <t>1091117226711</t>
  </si>
  <si>
    <t>721636</t>
  </si>
  <si>
    <t>1091117226910</t>
  </si>
  <si>
    <t>831002</t>
  </si>
  <si>
    <t>1091117227116</t>
  </si>
  <si>
    <t>322201</t>
  </si>
  <si>
    <t>1091117227573</t>
  </si>
  <si>
    <t>226004</t>
  </si>
  <si>
    <t>1091117227816</t>
  </si>
  <si>
    <t>1091117228133</t>
  </si>
  <si>
    <t>314001</t>
  </si>
  <si>
    <t>1091117228192</t>
  </si>
  <si>
    <t>331022</t>
  </si>
  <si>
    <t>1091117229183</t>
  </si>
  <si>
    <t>305801</t>
  </si>
  <si>
    <t>1091117229290</t>
  </si>
  <si>
    <t>410206</t>
  </si>
  <si>
    <t>1091117229345</t>
  </si>
  <si>
    <t>515591</t>
  </si>
  <si>
    <t>1091117229555</t>
  </si>
  <si>
    <t>326502</t>
  </si>
  <si>
    <t>1091117229776</t>
  </si>
  <si>
    <t>208019</t>
  </si>
  <si>
    <t>1091117323005</t>
  </si>
  <si>
    <t>516503</t>
  </si>
  <si>
    <t>1091117323112</t>
  </si>
  <si>
    <t>140301</t>
  </si>
  <si>
    <t>1091117323215</t>
  </si>
  <si>
    <t>742103</t>
  </si>
  <si>
    <t>1091117323812</t>
  </si>
  <si>
    <t>396001</t>
  </si>
  <si>
    <t>1091117324011</t>
  </si>
  <si>
    <t>341001</t>
  </si>
  <si>
    <t>1091117324206</t>
  </si>
  <si>
    <t>711106</t>
  </si>
  <si>
    <t>1091117324346</t>
  </si>
  <si>
    <t>335502</t>
  </si>
  <si>
    <t>1091117324394</t>
  </si>
  <si>
    <t>452018</t>
  </si>
  <si>
    <t>1091117325094</t>
  </si>
  <si>
    <t>208001</t>
  </si>
  <si>
    <t>1091117326424</t>
  </si>
  <si>
    <t>306116</t>
  </si>
  <si>
    <t>1091117326612</t>
  </si>
  <si>
    <t>284001</t>
  </si>
  <si>
    <t>1091117326925</t>
  </si>
  <si>
    <t>311001</t>
  </si>
  <si>
    <t>1091117327172</t>
  </si>
  <si>
    <t>441601</t>
  </si>
  <si>
    <t>1091117327275</t>
  </si>
  <si>
    <t>248006</t>
  </si>
  <si>
    <t>1091117327312</t>
  </si>
  <si>
    <t>485001</t>
  </si>
  <si>
    <t>1091117327474</t>
  </si>
  <si>
    <t>302019</t>
  </si>
  <si>
    <t>1091117327496</t>
  </si>
  <si>
    <t>400705</t>
  </si>
  <si>
    <t>Forward and RTO charges</t>
  </si>
  <si>
    <t>1091117327570</t>
  </si>
  <si>
    <t>332715</t>
  </si>
  <si>
    <t>1091117327695</t>
  </si>
  <si>
    <t>845438</t>
  </si>
  <si>
    <t>1091117333100</t>
  </si>
  <si>
    <t>302039</t>
  </si>
  <si>
    <t>1091117333251</t>
  </si>
  <si>
    <t>335803</t>
  </si>
  <si>
    <t>1091117435005</t>
  </si>
  <si>
    <t>463106</t>
  </si>
  <si>
    <t>1091117435134</t>
  </si>
  <si>
    <t>1091117435370</t>
  </si>
  <si>
    <t>495671</t>
  </si>
  <si>
    <t>1091117435602</t>
  </si>
  <si>
    <t>302031</t>
  </si>
  <si>
    <t>1091117435661</t>
  </si>
  <si>
    <t>673002</t>
  </si>
  <si>
    <t>1091117436346</t>
  </si>
  <si>
    <t>335001</t>
  </si>
  <si>
    <t>1091117436383</t>
  </si>
  <si>
    <t>208002</t>
  </si>
  <si>
    <t>1091117436464</t>
  </si>
  <si>
    <t>416010</t>
  </si>
  <si>
    <t>1091117436652</t>
  </si>
  <si>
    <t>175101</t>
  </si>
  <si>
    <t>1091117437035</t>
  </si>
  <si>
    <t>303903</t>
  </si>
  <si>
    <t>1091117437050</t>
  </si>
  <si>
    <t>226010</t>
  </si>
  <si>
    <t>1091117437293</t>
  </si>
  <si>
    <t>342012</t>
  </si>
  <si>
    <t>1091117437680</t>
  </si>
  <si>
    <t>1091117437864</t>
  </si>
  <si>
    <t>334001</t>
  </si>
  <si>
    <t>1091117437890</t>
  </si>
  <si>
    <t>1091117438074</t>
  </si>
  <si>
    <t>302012</t>
  </si>
  <si>
    <t>1091117611501</t>
  </si>
  <si>
    <t>342014</t>
  </si>
  <si>
    <t>1091117613962</t>
  </si>
  <si>
    <t>324005</t>
  </si>
  <si>
    <t>1091117614452</t>
  </si>
  <si>
    <t>303702</t>
  </si>
  <si>
    <t>1091117616121</t>
  </si>
  <si>
    <t>244713</t>
  </si>
  <si>
    <t>1091117795531</t>
  </si>
  <si>
    <t>580007</t>
  </si>
  <si>
    <t>1091117795623</t>
  </si>
  <si>
    <t>360005</t>
  </si>
  <si>
    <t>1091117803511</t>
  </si>
  <si>
    <t>302001</t>
  </si>
  <si>
    <t>1091117804200</t>
  </si>
  <si>
    <t>334004</t>
  </si>
  <si>
    <t>1091117804314</t>
  </si>
  <si>
    <t>302004</t>
  </si>
  <si>
    <t>1091117805390</t>
  </si>
  <si>
    <t>302018</t>
  </si>
  <si>
    <t>1091117806263</t>
  </si>
  <si>
    <t>1091117807140</t>
  </si>
  <si>
    <t>324008</t>
  </si>
  <si>
    <t>1091117904860</t>
  </si>
  <si>
    <t>302020</t>
  </si>
  <si>
    <t>1091117905022</t>
  </si>
  <si>
    <t>1091117957533</t>
  </si>
  <si>
    <t>321001</t>
  </si>
  <si>
    <t>1091117957780</t>
  </si>
  <si>
    <t>562110</t>
  </si>
  <si>
    <t>1091117957942</t>
  </si>
  <si>
    <t>324001</t>
  </si>
  <si>
    <t>1091117958163</t>
  </si>
  <si>
    <t>1091117958395</t>
  </si>
  <si>
    <t>321608</t>
  </si>
  <si>
    <t>1091118001865</t>
  </si>
  <si>
    <t>302002</t>
  </si>
  <si>
    <t>1091118004245</t>
  </si>
  <si>
    <t>173212</t>
  </si>
  <si>
    <t>1091118009786</t>
  </si>
  <si>
    <t>311011</t>
  </si>
  <si>
    <t>1091118442390</t>
  </si>
  <si>
    <t>1091118547832</t>
  </si>
  <si>
    <t>262405</t>
  </si>
  <si>
    <t>1091118548333</t>
  </si>
  <si>
    <t>306302</t>
  </si>
  <si>
    <t>1091118551656</t>
  </si>
  <si>
    <t>325207</t>
  </si>
  <si>
    <t>1091118553701</t>
  </si>
  <si>
    <t>313001</t>
  </si>
  <si>
    <t>1091118591534</t>
  </si>
  <si>
    <t>1091118925110</t>
  </si>
  <si>
    <t>322255</t>
  </si>
  <si>
    <t>1091119169701</t>
  </si>
  <si>
    <t>1091119367193</t>
  </si>
  <si>
    <t>1091119398844</t>
  </si>
  <si>
    <t>394210</t>
  </si>
  <si>
    <t>1091119429202</t>
  </si>
  <si>
    <t>335512</t>
  </si>
  <si>
    <t>1091119630264</t>
  </si>
  <si>
    <t>411014</t>
  </si>
  <si>
    <t>1091120014461</t>
  </si>
  <si>
    <t>783301</t>
  </si>
  <si>
    <t>1091120352712</t>
  </si>
  <si>
    <t>174101</t>
  </si>
  <si>
    <t>1091120922803</t>
  </si>
  <si>
    <t>313301</t>
  </si>
  <si>
    <t>1091120959015</t>
  </si>
  <si>
    <t>486661</t>
  </si>
  <si>
    <t>1091120959225</t>
  </si>
  <si>
    <t>1091120962515</t>
  </si>
  <si>
    <t>1091121031745</t>
  </si>
  <si>
    <t>307026</t>
  </si>
  <si>
    <t>1091121034114</t>
  </si>
  <si>
    <t>327025</t>
  </si>
  <si>
    <t>1091121034350</t>
  </si>
  <si>
    <t>313333</t>
  </si>
  <si>
    <t>1091121034641</t>
  </si>
  <si>
    <t>1091121183730</t>
  </si>
  <si>
    <t>342008</t>
  </si>
  <si>
    <t>1091121185863</t>
  </si>
  <si>
    <t>314401</t>
  </si>
  <si>
    <t>1091121305541</t>
  </si>
  <si>
    <t>342301</t>
  </si>
  <si>
    <t>1091121306101</t>
  </si>
  <si>
    <t>313003</t>
  </si>
  <si>
    <t>1091121482593</t>
  </si>
  <si>
    <t>831006</t>
  </si>
  <si>
    <t>1091121485824</t>
  </si>
  <si>
    <t>244001</t>
  </si>
  <si>
    <t>1091121666133</t>
  </si>
  <si>
    <t>492001</t>
  </si>
  <si>
    <t>1091121844806</t>
  </si>
  <si>
    <t>1091121846136</t>
  </si>
  <si>
    <t>1091121981575</t>
  </si>
  <si>
    <t>517128</t>
  </si>
  <si>
    <t>1091122418320</t>
  </si>
  <si>
    <t>173213</t>
  </si>
  <si>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</si>
  <si>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</si>
  <si>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</si>
  <si>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</si>
  <si>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</si>
  <si>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</si>
  <si>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</si>
  <si>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</si>
  <si>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</si>
  <si>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</si>
  <si>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</si>
  <si>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</si>
  <si>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</si>
  <si>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</si>
  <si>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</si>
  <si>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</si>
  <si>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</si>
  <si>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</si>
  <si>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</si>
  <si>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</si>
  <si>
    <t>status</t>
  </si>
  <si>
    <t>OrderNo</t>
  </si>
  <si>
    <t>Forward Charges Applicable</t>
  </si>
  <si>
    <t>RTO Charges Applicable</t>
  </si>
  <si>
    <t>Total weight as per X (KG)</t>
  </si>
  <si>
    <t>Total weight as per X (G)</t>
  </si>
  <si>
    <t>Weight slab as per X (KG)</t>
  </si>
  <si>
    <t>Weight slab as per X (G)</t>
  </si>
  <si>
    <t>Delivery zone as per X</t>
  </si>
  <si>
    <t>Forward_fixed _charges(X)</t>
  </si>
  <si>
    <t>Forward_additional_charges(X)</t>
  </si>
  <si>
    <t>RTO_Fixed_Charges(X)</t>
  </si>
  <si>
    <t>RTO_additional_Charges(X)</t>
  </si>
  <si>
    <t>Expected_charge as per X (Rs)</t>
  </si>
  <si>
    <t>Total weight as per Courier Company (KG)</t>
  </si>
  <si>
    <t>Weight slab charged by Courier Company (KG)</t>
  </si>
  <si>
    <t>Delivery Zone charged by Courier Company</t>
  </si>
  <si>
    <t>Charges Billed by Courier Company (Rs.)</t>
  </si>
  <si>
    <t>Difference Between Expected Charges and Billed Charges (Rs.)</t>
  </si>
  <si>
    <t>Discount Applied (%)</t>
  </si>
  <si>
    <t>Net Forward Charges per KG (Rs./KG)</t>
  </si>
  <si>
    <t>Net RTO Charges per KG (Rs./KG)</t>
  </si>
  <si>
    <t>Count</t>
  </si>
  <si>
    <t>Amount</t>
  </si>
  <si>
    <t>Total Orders where X has been Correctly Charged</t>
  </si>
  <si>
    <t>Total Orders where X has been Over Charged</t>
  </si>
  <si>
    <t>Total Orders where X  has been Under Charged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</si>
</sst>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000000000000000"/>
    <numFmt numFmtId="165" formatCode="#,##0.0000000000000000000000"/>
  </numFmts>
  <fonts count="14">
    <font>
      <sz val="11.0"/>
      <color theme="1"/>
      <name val="Calibri"/>
      <scheme val="minor"/>
    </font>
    <font>
      <b/>
      <color theme="1"/>
      <name val="Calibri"/>
      <scheme val="minor"/>
    </font>
    <font>
      <b/>
      <color rgb="FFCC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rgb="FFCC0000"/>
      <name val="Calibri"/>
      <scheme val="minor"/>
    </font>
    <font>
      <b/>
      <color rgb="FF000000"/>
      <name val="Calibri"/>
      <scheme val="minor"/>
    </font>
    <font>
      <color rgb="FF000000"/>
      <name val="Calibri"/>
      <scheme val="minor"/>
    </font>
    <font>
      <b/>
      <sz val="11.0"/>
      <color theme="1"/>
      <name val="Calibri"/>
    </font>
    <font>
      <b/>
      <sz val="11.0"/>
      <color rgb="FF000000"/>
      <name val="Arial"/>
    </font>
    <font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5" numFmtId="0" xfId="0" applyFont="1"/>
    <xf borderId="0" fillId="0" fontId="3" numFmtId="0" xfId="0" applyAlignment="1" applyFont="1">
      <alignment horizontal="left"/>
    </xf>
    <xf borderId="1" fillId="0" fontId="6" numFmtId="0" xfId="0" applyBorder="1" applyFont="1"/>
    <xf borderId="0" fillId="0" fontId="1" numFmtId="0" xfId="0" applyAlignment="1" applyFont="1">
      <alignment readingOrder="0"/>
    </xf>
    <xf borderId="0" fillId="0" fontId="4" numFmtId="0" xfId="0" applyFont="1"/>
    <xf borderId="1" fillId="0" fontId="7" numFmtId="0" xfId="0" applyBorder="1" applyFont="1"/>
    <xf borderId="1" fillId="0" fontId="7" numFmtId="49" xfId="0" applyAlignment="1" applyBorder="1" applyFont="1" applyNumberFormat="1">
      <alignment horizontal="left"/>
    </xf>
    <xf borderId="1" fillId="0" fontId="7" numFmtId="49" xfId="0" applyBorder="1" applyFont="1" applyNumberFormat="1"/>
    <xf borderId="0" fillId="0" fontId="3" numFmtId="49" xfId="0" applyFont="1" applyNumberFormat="1"/>
    <xf borderId="0" fillId="0" fontId="3" numFmtId="0" xfId="0" applyFont="1"/>
    <xf borderId="0" fillId="0" fontId="3" numFmtId="4" xfId="0" applyAlignment="1" applyFont="1" applyNumberFormat="1">
      <alignment horizontal="left"/>
    </xf>
    <xf borderId="0" fillId="0" fontId="8" numFmtId="0" xfId="0" applyFont="1"/>
    <xf borderId="0" fillId="0" fontId="3" numFmtId="4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9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10" numFmtId="49" xfId="0" applyFont="1" applyNumberFormat="1"/>
    <xf borderId="0" fillId="0" fontId="10" numFmtId="4" xfId="0" applyAlignment="1" applyFont="1" applyNumberFormat="1">
      <alignment horizontal="left"/>
    </xf>
    <xf borderId="0" fillId="2" fontId="11" numFmtId="0" xfId="0" applyAlignment="1" applyFill="1" applyFont="1">
      <alignment horizontal="left"/>
    </xf>
    <xf borderId="0" fillId="0" fontId="12" numFmtId="0" xfId="0" applyAlignment="1" applyFont="1">
      <alignment horizontal="left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401" sheet="Order Report(X)"/>
  </cacheSource>
  <cacheFields>
    <cacheField name="ExternOrderNo" numFmtId="0">
      <sharedItems>
        <s v="2001827036"/>
        <s v="2001825261"/>
        <s v="2001823564"/>
        <s v="2001822466"/>
        <s v="2001821995"/>
        <s v="2001821766"/>
        <s v="2001821750"/>
        <s v="2001821742"/>
        <s v="2001821679"/>
        <s v="2001821502"/>
        <s v="2001821284"/>
        <s v="2001821190"/>
        <s v="2001821185"/>
        <s v="2001820978"/>
        <s v="2001820690"/>
        <s v="2001819252"/>
        <s v="2001818390"/>
        <s v="2001817160"/>
        <s v="2001817093"/>
        <s v="2001816996"/>
        <s v="2001816684"/>
        <s v="2001816131"/>
        <s v="2001815688"/>
        <s v="2001814580"/>
        <s v="2001813009"/>
        <s v="2001812941"/>
        <s v="2001812854"/>
        <s v="2001812838"/>
        <s v="2001812650"/>
        <s v="2001812195"/>
        <s v="2001811809"/>
        <s v="2001811604"/>
        <s v="2001811475"/>
        <s v="2001811466"/>
        <s v="2001811363"/>
        <s v="2001811306"/>
        <s v="2001811305"/>
        <s v="2001811229"/>
        <s v="2001811192"/>
        <s v="2001811153"/>
        <s v="2001811058"/>
        <s v="2001811039"/>
        <s v="2001810697"/>
        <s v="2001810549"/>
        <s v="2001810281"/>
        <s v="2001810125"/>
        <s v="2001810104"/>
        <s v="2001809934"/>
        <s v="2001809917"/>
        <s v="2001809820"/>
        <s v="2001809794"/>
        <s v="2001809592"/>
        <s v="2001809383"/>
        <s v="2001809270"/>
        <s v="2001808992"/>
        <s v="2001808883"/>
        <s v="2001808837"/>
        <s v="2001808832"/>
        <s v="2001808801"/>
        <s v="2001808739"/>
        <s v="2001808679"/>
        <s v="2001808675"/>
        <s v="2001808585"/>
        <s v="2001808542"/>
        <s v="2001808507"/>
        <s v="2001808475"/>
        <s v="2001808295"/>
        <s v="2001808286"/>
        <s v="2001808207"/>
        <s v="2001808118"/>
        <s v="2001808102"/>
        <s v="2001807981"/>
        <s v="2001807976"/>
        <s v="2001807970"/>
        <s v="2001807960"/>
        <s v="2001807956"/>
        <s v="2001807931"/>
        <s v="2001807930"/>
        <s v="2001807852"/>
        <s v="2001807814"/>
        <s v="2001807785"/>
        <s v="2001807613"/>
        <s v="2001807415"/>
        <s v="2001807362"/>
        <s v="2001807329"/>
        <s v="2001807328"/>
        <s v="2001807290"/>
        <s v="2001807241"/>
        <s v="2001807186"/>
        <s v="2001807084"/>
        <s v="2001807058"/>
        <s v="2001807036"/>
        <s v="2001807012"/>
        <s v="2001807004"/>
        <s v="2001806968"/>
        <s v="2001806885"/>
        <s v="2001806828"/>
        <s v="2001806823"/>
        <s v="2001806801"/>
        <s v="2001806776"/>
        <s v="2001806768"/>
        <s v="2001806735"/>
        <s v="2001806733"/>
        <s v="2001806726"/>
        <s v="2001806686"/>
        <s v="2001806652"/>
        <s v="2001806616"/>
        <s v="2001806575"/>
        <s v="2001806567"/>
        <s v="2001806547"/>
        <s v="2001806533"/>
        <s v="2001806471"/>
        <s v="2001806458"/>
        <s v="2001806446"/>
        <s v="2001806408"/>
        <s v="2001806338"/>
        <s v="2001806304"/>
        <s v="2001806273"/>
        <s v="2001806251"/>
        <s v="2001806233"/>
        <s v="2001806232"/>
        <s v="2001806229"/>
        <s v="2001806226"/>
        <s v="2001806210"/>
      </sharedItems>
    </cacheField>
    <cacheField name="SKU">
      <sharedItems containsMixedTypes="1" containsNumber="1" containsInteger="1">
        <n v="8.904223818706E12"/>
        <n v="8.904223819093E12"/>
        <n v="8.904223819109E12"/>
        <n v="8.90422381843E12"/>
        <n v="8.904223819277E12"/>
        <s v="GIFTBOX202002"/>
        <n v="8.904223818638E12"/>
        <s v="SACHETS001"/>
        <n v="8.904223819024E12"/>
        <n v="8.904223819291E12"/>
        <n v="8.904223818669E12"/>
        <n v="8.904223819031E12"/>
        <n v="8.904223819468E12"/>
        <n v="8.90422381913E12"/>
        <n v="8.904223818591E12"/>
        <n v="8.90422381885E12"/>
        <n v="8.90422381898E12"/>
        <n v="8.904223818614E12"/>
        <n v="8.904223819321E12"/>
        <n v="8.904223819338E12"/>
        <n v="8.904223818942E12"/>
        <n v="8.904223818683E12"/>
        <n v="8.904223819239E12"/>
        <n v="8.904223819246E12"/>
        <n v="8.904223819253E12"/>
        <n v="8.904223819147E12"/>
        <n v="8.904223815859E12"/>
        <n v="8.904223817501E12"/>
        <n v="8.904223817273E12"/>
        <n v="8.904223818935E12"/>
        <n v="8.904223818478E12"/>
        <n v="8.904223819284E12"/>
        <n v="8.904223816214E12"/>
        <n v="8.904223818874E12"/>
        <n v="8.904223819512E12"/>
        <n v="8.904223818881E12"/>
        <n v="8.904223818553E12"/>
        <n v="8.904223816665E12"/>
        <s v="GIFTBOX202003"/>
        <n v="8.904223819017E12"/>
        <n v="8.904223819499E12"/>
        <n v="8.904223818751E12"/>
        <n v="8.904223815873E12"/>
        <n v="8.904223819352E12"/>
        <n v="8.904223819543E12"/>
        <n v="8.904223819505E12"/>
        <n v="8.904223819345E12"/>
        <n v="8.904223818454E12"/>
        <n v="8.904223818898E12"/>
        <s v="GIFTBOX202004"/>
        <n v="8.904223819116E12"/>
        <n v="8.904223815866E12"/>
        <n v="8.904223815682E12"/>
        <n v="8.904223817334E12"/>
        <s v="GIFTBOX202001"/>
        <n v="8.904223819369E12"/>
        <n v="8.904223819161E12"/>
        <n v="8.90422381926E12"/>
        <n v="8.904223818713E12"/>
        <n v="8.904223818997E12"/>
        <n v="8.904223819123E12"/>
        <n v="8.904223815804E12"/>
        <n v="8.904223818577E12"/>
        <n v="8.904223819437E12"/>
        <n v="8.904223818645E12"/>
      </sharedItems>
    </cacheField>
    <cacheField name="Weight(g)" numFmtId="0">
      <sharedItems containsSemiMixedTypes="0" containsString="0" containsNumber="1" containsInteger="1">
        <n v="127.0"/>
        <n v="150.0"/>
        <n v="100.0"/>
        <n v="165.0"/>
        <n v="350.0"/>
        <n v="500.0"/>
        <n v="137.0"/>
        <n v="10.0"/>
        <n v="112.0"/>
        <n v="240.0"/>
        <n v="120.0"/>
        <n v="110.0"/>
        <n v="65.0"/>
        <n v="600.0"/>
        <n v="133.0"/>
        <n v="121.0"/>
        <n v="290.0"/>
        <n v="210.0"/>
        <n v="140.0"/>
        <n v="115.0"/>
        <n v="102.0"/>
        <n v="113.0"/>
        <n v="300.0"/>
        <n v="232.0"/>
        <n v="30.0"/>
        <n v="170.0"/>
        <n v="130.0"/>
        <n v="490.0"/>
        <n v="250.0"/>
        <n v="160.0"/>
        <n v="552.0"/>
      </sharedItems>
    </cacheField>
    <cacheField name="Order Qty" numFmtId="0">
      <sharedItems>
        <s v="1.00"/>
        <s v="2.00"/>
        <s v="4.00"/>
        <s v="3.00"/>
        <s v="8.00"/>
        <s v="6.00"/>
      </sharedItems>
    </cacheField>
    <cacheField name="Total weight (g)" numFmtId="0">
      <sharedItems containsSemiMixedTypes="0" containsString="0" containsNumber="1" containsInteger="1">
        <n v="127.0"/>
        <n v="150.0"/>
        <n v="100.0"/>
        <n v="165.0"/>
        <n v="350.0"/>
        <n v="500.0"/>
        <n v="274.0"/>
        <n v="10.0"/>
        <n v="448.0"/>
        <n v="411.0"/>
        <n v="240.0"/>
        <n v="224.0"/>
        <n v="480.0"/>
        <n v="896.0"/>
        <n v="110.0"/>
        <n v="65.0"/>
        <n v="112.0"/>
        <n v="600.0"/>
        <n v="266.0"/>
        <n v="242.0"/>
        <n v="290.0"/>
        <n v="133.0"/>
        <n v="121.0"/>
        <n v="120.0"/>
        <n v="210.0"/>
        <n v="140.0"/>
        <n v="115.0"/>
        <n v="200.0"/>
        <n v="204.0"/>
        <n v="113.0"/>
        <n v="300.0"/>
        <n v="232.0"/>
        <n v="30.0"/>
        <n v="130.0"/>
        <n v="226.0"/>
        <n v="170.0"/>
        <n v="254.0"/>
        <n v="580.0"/>
        <n v="672.0"/>
        <n v="490.0"/>
        <n v="420.0"/>
        <n v="840.0"/>
        <n v="250.0"/>
        <n v="160.0"/>
        <n v="1104.0"/>
        <n v="82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Order Report(X)" cacheId="0" dataCaption="" rowGrandTotals="0" compact="0" compactData="0">
  <location ref="H1:I125" firstHeaderRow="0" firstDataRow="1" firstDataCol="0"/>
  <pivotFields>
    <pivotField name="ExternOrderNo" axis="axisRow" compact="0" outline="0" multipleItemSelectionAllowed="1" showAll="0" sortType="ascending">
      <items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eight(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rder Q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weight (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>
    <field x="0"/>
  </rowFields>
  <dataFields>
    <dataField name="SUM of Total weight (g)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21.43"/>
    <col customWidth="1" min="3" max="4" width="9.71"/>
    <col customWidth="1" min="5" max="5" width="14.57"/>
    <col customWidth="1" min="6" max="7" width="8.71"/>
    <col customWidth="1" min="8" max="8" width="13.86"/>
    <col customWidth="1" min="9" max="9" width="21.0"/>
    <col customWidth="1" min="10" max="27" width="8.71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</row>
    <row r="2">
      <c r="A2" s="4" t="s">
        <v>6</v>
      </c>
      <c r="B2" s="5">
        <v>8.904223818706E12</v>
      </c>
      <c r="C2" s="6">
        <f>VLOOKUP(B2,'SKU Master (X)'!$A$1:$B$66,2,FALSE)</f>
        <v>127</v>
      </c>
      <c r="D2" s="4" t="s">
        <v>7</v>
      </c>
      <c r="E2" s="6">
        <f t="shared" ref="E2:E401" si="1">(C2*D2)</f>
        <v>127</v>
      </c>
    </row>
    <row r="3">
      <c r="A3" s="4" t="s">
        <v>6</v>
      </c>
      <c r="B3" s="5">
        <v>8.904223819093E12</v>
      </c>
      <c r="C3" s="6">
        <f>VLOOKUP(B3,'SKU Master (X)'!$A$1:$B$66,2,FALSE)</f>
        <v>150</v>
      </c>
      <c r="D3" s="4" t="s">
        <v>7</v>
      </c>
      <c r="E3" s="6">
        <f t="shared" si="1"/>
        <v>150</v>
      </c>
    </row>
    <row r="4">
      <c r="A4" s="4" t="s">
        <v>6</v>
      </c>
      <c r="B4" s="5">
        <v>8.904223819109E12</v>
      </c>
      <c r="C4" s="6">
        <f>VLOOKUP(B4,'SKU Master (X)'!$A$1:$B$66,2,FALSE)</f>
        <v>100</v>
      </c>
      <c r="D4" s="4" t="s">
        <v>7</v>
      </c>
      <c r="E4" s="6">
        <f t="shared" si="1"/>
        <v>100</v>
      </c>
    </row>
    <row r="5">
      <c r="A5" s="4" t="s">
        <v>6</v>
      </c>
      <c r="B5" s="5">
        <v>8.90422381843E12</v>
      </c>
      <c r="C5" s="6">
        <f>VLOOKUP(B5,'SKU Master (X)'!$A$1:$B$66,2,FALSE)</f>
        <v>165</v>
      </c>
      <c r="D5" s="4" t="s">
        <v>7</v>
      </c>
      <c r="E5" s="6">
        <f t="shared" si="1"/>
        <v>165</v>
      </c>
    </row>
    <row r="6">
      <c r="A6" s="4" t="s">
        <v>6</v>
      </c>
      <c r="B6" s="5">
        <v>8.904223819277E12</v>
      </c>
      <c r="C6" s="6">
        <f>VLOOKUP(B6,'SKU Master (X)'!$A$1:$B$66,2,FALSE)</f>
        <v>350</v>
      </c>
      <c r="D6" s="4" t="s">
        <v>7</v>
      </c>
      <c r="E6" s="6">
        <f t="shared" si="1"/>
        <v>350</v>
      </c>
    </row>
    <row r="7">
      <c r="A7" s="4" t="s">
        <v>6</v>
      </c>
      <c r="B7" s="7" t="s">
        <v>13</v>
      </c>
      <c r="C7" s="6">
        <f>VLOOKUP(B7,'SKU Master (X)'!$A$1:$B$66,2,FALSE)</f>
        <v>500</v>
      </c>
      <c r="D7" s="4" t="s">
        <v>7</v>
      </c>
      <c r="E7" s="6">
        <f t="shared" si="1"/>
        <v>500</v>
      </c>
    </row>
    <row r="8">
      <c r="A8" s="4" t="s">
        <v>6</v>
      </c>
      <c r="B8" s="5">
        <v>8.904223818638E12</v>
      </c>
      <c r="C8" s="6">
        <f>VLOOKUP(B8,'SKU Master (X)'!$A$1:$B$66,2,FALSE)</f>
        <v>137</v>
      </c>
      <c r="D8" s="4" t="s">
        <v>15</v>
      </c>
      <c r="E8" s="6">
        <f t="shared" si="1"/>
        <v>274</v>
      </c>
    </row>
    <row r="9">
      <c r="A9" s="4" t="s">
        <v>6</v>
      </c>
      <c r="B9" s="7" t="s">
        <v>17</v>
      </c>
      <c r="C9" s="6">
        <f>VLOOKUP(B9,'SKU Master (X)'!$A$1:$B$66,2,FALSE)</f>
        <v>10</v>
      </c>
      <c r="D9" s="4" t="s">
        <v>7</v>
      </c>
      <c r="E9" s="6">
        <f t="shared" si="1"/>
        <v>10</v>
      </c>
    </row>
    <row r="10">
      <c r="A10" s="4" t="s">
        <v>19</v>
      </c>
      <c r="B10" s="5">
        <v>8.904223819024E12</v>
      </c>
      <c r="C10" s="6">
        <f>VLOOKUP(B10,'SKU Master (X)'!$A$1:$B$66,2,FALSE)</f>
        <v>112</v>
      </c>
      <c r="D10" s="4" t="s">
        <v>20</v>
      </c>
      <c r="E10" s="6">
        <f t="shared" si="1"/>
        <v>448</v>
      </c>
    </row>
    <row r="11">
      <c r="A11" s="4" t="s">
        <v>19</v>
      </c>
      <c r="B11" s="5">
        <v>8.904223819291E12</v>
      </c>
      <c r="C11" s="6">
        <f>VLOOKUP(B11,'SKU Master (X)'!$A$1:$B$66,2,FALSE)</f>
        <v>112</v>
      </c>
      <c r="D11" s="4" t="s">
        <v>20</v>
      </c>
      <c r="E11" s="6">
        <f t="shared" si="1"/>
        <v>448</v>
      </c>
    </row>
    <row r="12">
      <c r="A12" s="4" t="s">
        <v>19</v>
      </c>
      <c r="B12" s="5">
        <v>8.904223818638E12</v>
      </c>
      <c r="C12" s="6">
        <f>VLOOKUP(B12,'SKU Master (X)'!$A$1:$B$66,2,FALSE)</f>
        <v>137</v>
      </c>
      <c r="D12" s="4" t="s">
        <v>23</v>
      </c>
      <c r="E12" s="6">
        <f t="shared" si="1"/>
        <v>411</v>
      </c>
    </row>
    <row r="13">
      <c r="A13" s="4" t="s">
        <v>19</v>
      </c>
      <c r="B13" s="5">
        <v>8.904223818669E12</v>
      </c>
      <c r="C13" s="6">
        <f>VLOOKUP(B13,'SKU Master (X)'!$A$1:$B$66,2,FALSE)</f>
        <v>240</v>
      </c>
      <c r="D13" s="4" t="s">
        <v>7</v>
      </c>
      <c r="E13" s="6">
        <f t="shared" si="1"/>
        <v>240</v>
      </c>
    </row>
    <row r="14">
      <c r="A14" s="4" t="s">
        <v>19</v>
      </c>
      <c r="B14" s="7" t="s">
        <v>17</v>
      </c>
      <c r="C14" s="6">
        <f>VLOOKUP(B14,'SKU Master (X)'!$A$1:$B$66,2,FALSE)</f>
        <v>10</v>
      </c>
      <c r="D14" s="4" t="s">
        <v>7</v>
      </c>
      <c r="E14" s="6">
        <f t="shared" si="1"/>
        <v>10</v>
      </c>
    </row>
    <row r="15">
      <c r="A15" s="4" t="s">
        <v>27</v>
      </c>
      <c r="B15" s="5">
        <v>8.904223819291E12</v>
      </c>
      <c r="C15" s="6">
        <f>VLOOKUP(B15,'SKU Master (X)'!$A$1:$B$66,2,FALSE)</f>
        <v>112</v>
      </c>
      <c r="D15" s="4" t="s">
        <v>15</v>
      </c>
      <c r="E15" s="6">
        <f t="shared" si="1"/>
        <v>224</v>
      </c>
    </row>
    <row r="16">
      <c r="A16" s="4" t="s">
        <v>27</v>
      </c>
      <c r="B16" s="5">
        <v>8.904223819031E12</v>
      </c>
      <c r="C16" s="6">
        <f>VLOOKUP(B16,'SKU Master (X)'!$A$1:$B$66,2,FALSE)</f>
        <v>112</v>
      </c>
      <c r="D16" s="4" t="s">
        <v>15</v>
      </c>
      <c r="E16" s="6">
        <f t="shared" si="1"/>
        <v>224</v>
      </c>
    </row>
    <row r="17">
      <c r="A17" s="4" t="s">
        <v>27</v>
      </c>
      <c r="B17" s="5">
        <v>8.904223819024E12</v>
      </c>
      <c r="C17" s="6">
        <f>VLOOKUP(B17,'SKU Master (X)'!$A$1:$B$66,2,FALSE)</f>
        <v>112</v>
      </c>
      <c r="D17" s="4" t="s">
        <v>15</v>
      </c>
      <c r="E17" s="6">
        <f t="shared" si="1"/>
        <v>224</v>
      </c>
    </row>
    <row r="18">
      <c r="A18" s="4" t="s">
        <v>31</v>
      </c>
      <c r="B18" s="5">
        <v>8.904223819468E12</v>
      </c>
      <c r="C18" s="6">
        <f>VLOOKUP(B18,'SKU Master (X)'!$A$1:$B$66,2,FALSE)</f>
        <v>240</v>
      </c>
      <c r="D18" s="4" t="s">
        <v>15</v>
      </c>
      <c r="E18" s="6">
        <f t="shared" si="1"/>
        <v>480</v>
      </c>
    </row>
    <row r="19">
      <c r="A19" s="4" t="s">
        <v>31</v>
      </c>
      <c r="B19" s="5">
        <v>8.904223819291E12</v>
      </c>
      <c r="C19" s="6">
        <f>VLOOKUP(B19,'SKU Master (X)'!$A$1:$B$66,2,FALSE)</f>
        <v>112</v>
      </c>
      <c r="D19" s="4" t="s">
        <v>33</v>
      </c>
      <c r="E19" s="6">
        <f t="shared" si="1"/>
        <v>896</v>
      </c>
    </row>
    <row r="20">
      <c r="A20" s="4" t="s">
        <v>35</v>
      </c>
      <c r="B20" s="5">
        <v>8.90422381913E12</v>
      </c>
      <c r="C20" s="6">
        <f>VLOOKUP(B20,'SKU Master (X)'!$A$1:$B$66,2,FALSE)</f>
        <v>350</v>
      </c>
      <c r="D20" s="4" t="s">
        <v>7</v>
      </c>
      <c r="E20" s="6">
        <f t="shared" si="1"/>
        <v>350</v>
      </c>
    </row>
    <row r="21" ht="15.75" customHeight="1">
      <c r="A21" s="4" t="s">
        <v>35</v>
      </c>
      <c r="B21" s="5">
        <v>8.904223818706E12</v>
      </c>
      <c r="C21" s="6">
        <f>VLOOKUP(B21,'SKU Master (X)'!$A$1:$B$66,2,FALSE)</f>
        <v>127</v>
      </c>
      <c r="D21" s="4" t="s">
        <v>7</v>
      </c>
      <c r="E21" s="6">
        <f t="shared" si="1"/>
        <v>127</v>
      </c>
    </row>
    <row r="22" ht="15.75" customHeight="1">
      <c r="A22" s="4" t="s">
        <v>38</v>
      </c>
      <c r="B22" s="5">
        <v>8.904223818591E12</v>
      </c>
      <c r="C22" s="6">
        <f>VLOOKUP(B22,'SKU Master (X)'!$A$1:$B$66,2,FALSE)</f>
        <v>120</v>
      </c>
      <c r="D22" s="4" t="s">
        <v>15</v>
      </c>
      <c r="E22" s="6">
        <f t="shared" si="1"/>
        <v>240</v>
      </c>
    </row>
    <row r="23" ht="15.75" customHeight="1">
      <c r="A23" s="4" t="s">
        <v>40</v>
      </c>
      <c r="B23" s="5">
        <v>8.90422381885E12</v>
      </c>
      <c r="C23" s="6">
        <f>VLOOKUP(B23,'SKU Master (X)'!$A$1:$B$66,2,FALSE)</f>
        <v>240</v>
      </c>
      <c r="D23" s="4" t="s">
        <v>7</v>
      </c>
      <c r="E23" s="6">
        <f t="shared" si="1"/>
        <v>240</v>
      </c>
    </row>
    <row r="24" ht="15.75" customHeight="1">
      <c r="A24" s="4" t="s">
        <v>40</v>
      </c>
      <c r="B24" s="5">
        <v>8.90422381843E12</v>
      </c>
      <c r="C24" s="6">
        <f>VLOOKUP(B24,'SKU Master (X)'!$A$1:$B$66,2,FALSE)</f>
        <v>165</v>
      </c>
      <c r="D24" s="4" t="s">
        <v>7</v>
      </c>
      <c r="E24" s="6">
        <f t="shared" si="1"/>
        <v>165</v>
      </c>
    </row>
    <row r="25" ht="15.75" customHeight="1">
      <c r="A25" s="4" t="s">
        <v>40</v>
      </c>
      <c r="B25" s="5">
        <v>8.90422381913E12</v>
      </c>
      <c r="C25" s="6">
        <f>VLOOKUP(B25,'SKU Master (X)'!$A$1:$B$66,2,FALSE)</f>
        <v>350</v>
      </c>
      <c r="D25" s="4" t="s">
        <v>7</v>
      </c>
      <c r="E25" s="6">
        <f t="shared" si="1"/>
        <v>350</v>
      </c>
    </row>
    <row r="26" ht="15.75" customHeight="1">
      <c r="A26" s="4" t="s">
        <v>44</v>
      </c>
      <c r="B26" s="5">
        <v>8.904223819468E12</v>
      </c>
      <c r="C26" s="6">
        <f>VLOOKUP(B26,'SKU Master (X)'!$A$1:$B$66,2,FALSE)</f>
        <v>240</v>
      </c>
      <c r="D26" s="4" t="s">
        <v>7</v>
      </c>
      <c r="E26" s="6">
        <f t="shared" si="1"/>
        <v>240</v>
      </c>
    </row>
    <row r="27" ht="15.75" customHeight="1">
      <c r="A27" s="4" t="s">
        <v>46</v>
      </c>
      <c r="B27" s="5">
        <v>8.90422381843E12</v>
      </c>
      <c r="C27" s="6">
        <f>VLOOKUP(B27,'SKU Master (X)'!$A$1:$B$66,2,FALSE)</f>
        <v>165</v>
      </c>
      <c r="D27" s="4" t="s">
        <v>7</v>
      </c>
      <c r="E27" s="6">
        <f t="shared" si="1"/>
        <v>165</v>
      </c>
    </row>
    <row r="28" ht="15.75" customHeight="1">
      <c r="A28" s="4" t="s">
        <v>48</v>
      </c>
      <c r="B28" s="5">
        <v>8.90422381898E12</v>
      </c>
      <c r="C28" s="6">
        <f>VLOOKUP(B28,'SKU Master (X)'!$A$1:$B$66,2,FALSE)</f>
        <v>110</v>
      </c>
      <c r="D28" s="4" t="s">
        <v>7</v>
      </c>
      <c r="E28" s="6">
        <f t="shared" si="1"/>
        <v>110</v>
      </c>
    </row>
    <row r="29" ht="15.75" customHeight="1">
      <c r="A29" s="4" t="s">
        <v>48</v>
      </c>
      <c r="B29" s="5">
        <v>8.904223819031E12</v>
      </c>
      <c r="C29" s="6">
        <f>VLOOKUP(B29,'SKU Master (X)'!$A$1:$B$66,2,FALSE)</f>
        <v>112</v>
      </c>
      <c r="D29" s="4" t="s">
        <v>15</v>
      </c>
      <c r="E29" s="6">
        <f t="shared" si="1"/>
        <v>224</v>
      </c>
    </row>
    <row r="30" ht="15.75" customHeight="1">
      <c r="A30" s="4" t="s">
        <v>48</v>
      </c>
      <c r="B30" s="5">
        <v>8.904223819024E12</v>
      </c>
      <c r="C30" s="6">
        <f>VLOOKUP(B30,'SKU Master (X)'!$A$1:$B$66,2,FALSE)</f>
        <v>112</v>
      </c>
      <c r="D30" s="4" t="s">
        <v>15</v>
      </c>
      <c r="E30" s="6">
        <f t="shared" si="1"/>
        <v>224</v>
      </c>
    </row>
    <row r="31" ht="15.75" customHeight="1">
      <c r="A31" s="4" t="s">
        <v>52</v>
      </c>
      <c r="B31" s="5">
        <v>8.904223818614E12</v>
      </c>
      <c r="C31" s="6">
        <f>VLOOKUP(B31,'SKU Master (X)'!$A$1:$B$66,2,FALSE)</f>
        <v>65</v>
      </c>
      <c r="D31" s="4" t="s">
        <v>7</v>
      </c>
      <c r="E31" s="6">
        <f t="shared" si="1"/>
        <v>65</v>
      </c>
    </row>
    <row r="32" ht="15.75" customHeight="1">
      <c r="A32" s="4" t="s">
        <v>52</v>
      </c>
      <c r="B32" s="5">
        <v>8.904223819024E12</v>
      </c>
      <c r="C32" s="6">
        <f>VLOOKUP(B32,'SKU Master (X)'!$A$1:$B$66,2,FALSE)</f>
        <v>112</v>
      </c>
      <c r="D32" s="4" t="s">
        <v>7</v>
      </c>
      <c r="E32" s="6">
        <f t="shared" si="1"/>
        <v>112</v>
      </c>
    </row>
    <row r="33" ht="15.75" customHeight="1">
      <c r="A33" s="4" t="s">
        <v>55</v>
      </c>
      <c r="B33" s="5">
        <v>8.904223819321E12</v>
      </c>
      <c r="C33" s="6">
        <f>VLOOKUP(B33,'SKU Master (X)'!$A$1:$B$66,2,FALSE)</f>
        <v>600</v>
      </c>
      <c r="D33" s="4" t="s">
        <v>7</v>
      </c>
      <c r="E33" s="6">
        <f t="shared" si="1"/>
        <v>600</v>
      </c>
    </row>
    <row r="34" ht="15.75" customHeight="1">
      <c r="A34" s="4" t="s">
        <v>55</v>
      </c>
      <c r="B34" s="5">
        <v>8.904223819338E12</v>
      </c>
      <c r="C34" s="6">
        <f>VLOOKUP(B34,'SKU Master (X)'!$A$1:$B$66,2,FALSE)</f>
        <v>600</v>
      </c>
      <c r="D34" s="4" t="s">
        <v>7</v>
      </c>
      <c r="E34" s="6">
        <f t="shared" si="1"/>
        <v>600</v>
      </c>
    </row>
    <row r="35" ht="15.75" customHeight="1">
      <c r="A35" s="4" t="s">
        <v>58</v>
      </c>
      <c r="B35" s="5">
        <v>8.904223818942E12</v>
      </c>
      <c r="C35" s="6">
        <f>VLOOKUP(B35,'SKU Master (X)'!$A$1:$B$66,2,FALSE)</f>
        <v>133</v>
      </c>
      <c r="D35" s="4" t="s">
        <v>15</v>
      </c>
      <c r="E35" s="6">
        <f t="shared" si="1"/>
        <v>266</v>
      </c>
    </row>
    <row r="36" ht="15.75" customHeight="1">
      <c r="A36" s="4" t="s">
        <v>58</v>
      </c>
      <c r="B36" s="5">
        <v>8.904223818683E12</v>
      </c>
      <c r="C36" s="6">
        <f>VLOOKUP(B36,'SKU Master (X)'!$A$1:$B$66,2,FALSE)</f>
        <v>121</v>
      </c>
      <c r="D36" s="4" t="s">
        <v>15</v>
      </c>
      <c r="E36" s="6">
        <f t="shared" si="1"/>
        <v>242</v>
      </c>
    </row>
    <row r="37" ht="15.75" customHeight="1">
      <c r="A37" s="4" t="s">
        <v>58</v>
      </c>
      <c r="B37" s="5">
        <v>8.904223819239E12</v>
      </c>
      <c r="C37" s="6">
        <f>VLOOKUP(B37,'SKU Master (X)'!$A$1:$B$66,2,FALSE)</f>
        <v>290</v>
      </c>
      <c r="D37" s="4" t="s">
        <v>7</v>
      </c>
      <c r="E37" s="6">
        <f t="shared" si="1"/>
        <v>290</v>
      </c>
    </row>
    <row r="38" ht="15.75" customHeight="1">
      <c r="A38" s="4" t="s">
        <v>58</v>
      </c>
      <c r="B38" s="5">
        <v>8.904223819246E12</v>
      </c>
      <c r="C38" s="6">
        <f>VLOOKUP(B38,'SKU Master (X)'!$A$1:$B$66,2,FALSE)</f>
        <v>290</v>
      </c>
      <c r="D38" s="4" t="s">
        <v>7</v>
      </c>
      <c r="E38" s="6">
        <f t="shared" si="1"/>
        <v>290</v>
      </c>
    </row>
    <row r="39" ht="15.75" customHeight="1">
      <c r="A39" s="4" t="s">
        <v>58</v>
      </c>
      <c r="B39" s="5">
        <v>8.904223819253E12</v>
      </c>
      <c r="C39" s="6">
        <f>VLOOKUP(B39,'SKU Master (X)'!$A$1:$B$66,2,FALSE)</f>
        <v>290</v>
      </c>
      <c r="D39" s="4" t="s">
        <v>7</v>
      </c>
      <c r="E39" s="6">
        <f t="shared" si="1"/>
        <v>290</v>
      </c>
    </row>
    <row r="40" ht="15.75" customHeight="1">
      <c r="A40" s="4" t="s">
        <v>58</v>
      </c>
      <c r="B40" s="5">
        <v>8.904223818669E12</v>
      </c>
      <c r="C40" s="6">
        <f>VLOOKUP(B40,'SKU Master (X)'!$A$1:$B$66,2,FALSE)</f>
        <v>240</v>
      </c>
      <c r="D40" s="4" t="s">
        <v>7</v>
      </c>
      <c r="E40" s="6">
        <f t="shared" si="1"/>
        <v>240</v>
      </c>
    </row>
    <row r="41" ht="15.75" customHeight="1">
      <c r="A41" s="4" t="s">
        <v>58</v>
      </c>
      <c r="B41" s="5">
        <v>8.904223819147E12</v>
      </c>
      <c r="C41" s="6">
        <f>VLOOKUP(B41,'SKU Master (X)'!$A$1:$B$66,2,FALSE)</f>
        <v>240</v>
      </c>
      <c r="D41" s="4" t="s">
        <v>7</v>
      </c>
      <c r="E41" s="6">
        <f t="shared" si="1"/>
        <v>240</v>
      </c>
    </row>
    <row r="42" ht="15.75" customHeight="1">
      <c r="A42" s="4" t="s">
        <v>58</v>
      </c>
      <c r="B42" s="5">
        <v>8.90422381885E12</v>
      </c>
      <c r="C42" s="6">
        <f>VLOOKUP(B42,'SKU Master (X)'!$A$1:$B$66,2,FALSE)</f>
        <v>240</v>
      </c>
      <c r="D42" s="4" t="s">
        <v>7</v>
      </c>
      <c r="E42" s="6">
        <f t="shared" si="1"/>
        <v>240</v>
      </c>
    </row>
    <row r="43" ht="15.75" customHeight="1">
      <c r="A43" s="4" t="s">
        <v>67</v>
      </c>
      <c r="B43" s="5">
        <v>8.904223815859E12</v>
      </c>
      <c r="C43" s="6">
        <f>VLOOKUP(B43,'SKU Master (X)'!$A$1:$B$66,2,FALSE)</f>
        <v>165</v>
      </c>
      <c r="D43" s="4" t="s">
        <v>7</v>
      </c>
      <c r="E43" s="6">
        <f t="shared" si="1"/>
        <v>165</v>
      </c>
    </row>
    <row r="44" ht="15.75" customHeight="1">
      <c r="A44" s="4" t="s">
        <v>67</v>
      </c>
      <c r="B44" s="5">
        <v>8.904223817501E12</v>
      </c>
      <c r="C44" s="6">
        <f>VLOOKUP(B44,'SKU Master (X)'!$A$1:$B$66,2,FALSE)</f>
        <v>350</v>
      </c>
      <c r="D44" s="4" t="s">
        <v>7</v>
      </c>
      <c r="E44" s="6">
        <f t="shared" si="1"/>
        <v>350</v>
      </c>
    </row>
    <row r="45" ht="15.75" customHeight="1">
      <c r="A45" s="4" t="s">
        <v>70</v>
      </c>
      <c r="B45" s="5">
        <v>8.904223817273E12</v>
      </c>
      <c r="C45" s="6">
        <f>VLOOKUP(B45,'SKU Master (X)'!$A$1:$B$66,2,FALSE)</f>
        <v>65</v>
      </c>
      <c r="D45" s="4" t="s">
        <v>7</v>
      </c>
      <c r="E45" s="6">
        <f t="shared" si="1"/>
        <v>65</v>
      </c>
    </row>
    <row r="46" ht="15.75" customHeight="1">
      <c r="A46" s="4" t="s">
        <v>72</v>
      </c>
      <c r="B46" s="5">
        <v>8.904223818942E12</v>
      </c>
      <c r="C46" s="6">
        <f>VLOOKUP(B46,'SKU Master (X)'!$A$1:$B$66,2,FALSE)</f>
        <v>133</v>
      </c>
      <c r="D46" s="4" t="s">
        <v>7</v>
      </c>
      <c r="E46" s="6">
        <f t="shared" si="1"/>
        <v>133</v>
      </c>
    </row>
    <row r="47" ht="15.75" customHeight="1">
      <c r="A47" s="4" t="s">
        <v>72</v>
      </c>
      <c r="B47" s="5">
        <v>8.904223818706E12</v>
      </c>
      <c r="C47" s="6">
        <f>VLOOKUP(B47,'SKU Master (X)'!$A$1:$B$66,2,FALSE)</f>
        <v>127</v>
      </c>
      <c r="D47" s="4" t="s">
        <v>7</v>
      </c>
      <c r="E47" s="6">
        <f t="shared" si="1"/>
        <v>127</v>
      </c>
    </row>
    <row r="48" ht="15.75" customHeight="1">
      <c r="A48" s="4" t="s">
        <v>72</v>
      </c>
      <c r="B48" s="7" t="s">
        <v>17</v>
      </c>
      <c r="C48" s="6">
        <f>VLOOKUP(B48,'SKU Master (X)'!$A$1:$B$66,2,FALSE)</f>
        <v>10</v>
      </c>
      <c r="D48" s="4" t="s">
        <v>7</v>
      </c>
      <c r="E48" s="6">
        <f t="shared" si="1"/>
        <v>10</v>
      </c>
    </row>
    <row r="49" ht="15.75" customHeight="1">
      <c r="A49" s="4" t="s">
        <v>76</v>
      </c>
      <c r="B49" s="5">
        <v>8.904223819147E12</v>
      </c>
      <c r="C49" s="6">
        <f>VLOOKUP(B49,'SKU Master (X)'!$A$1:$B$66,2,FALSE)</f>
        <v>240</v>
      </c>
      <c r="D49" s="4" t="s">
        <v>7</v>
      </c>
      <c r="E49" s="6">
        <f t="shared" si="1"/>
        <v>240</v>
      </c>
    </row>
    <row r="50" ht="15.75" customHeight="1">
      <c r="A50" s="4" t="s">
        <v>76</v>
      </c>
      <c r="B50" s="5">
        <v>8.904223818935E12</v>
      </c>
      <c r="C50" s="6">
        <f>VLOOKUP(B50,'SKU Master (X)'!$A$1:$B$66,2,FALSE)</f>
        <v>120</v>
      </c>
      <c r="D50" s="4" t="s">
        <v>20</v>
      </c>
      <c r="E50" s="6">
        <f t="shared" si="1"/>
        <v>480</v>
      </c>
    </row>
    <row r="51" ht="15.75" customHeight="1">
      <c r="A51" s="4" t="s">
        <v>76</v>
      </c>
      <c r="B51" s="5">
        <v>8.904223818683E12</v>
      </c>
      <c r="C51" s="6">
        <f>VLOOKUP(B51,'SKU Master (X)'!$A$1:$B$66,2,FALSE)</f>
        <v>121</v>
      </c>
      <c r="D51" s="4" t="s">
        <v>7</v>
      </c>
      <c r="E51" s="6">
        <f t="shared" si="1"/>
        <v>121</v>
      </c>
    </row>
    <row r="52" ht="15.75" customHeight="1">
      <c r="A52" s="4" t="s">
        <v>80</v>
      </c>
      <c r="B52" s="5">
        <v>8.904223818478E12</v>
      </c>
      <c r="C52" s="6">
        <f>VLOOKUP(B52,'SKU Master (X)'!$A$1:$B$66,2,FALSE)</f>
        <v>350</v>
      </c>
      <c r="D52" s="4" t="s">
        <v>7</v>
      </c>
      <c r="E52" s="6">
        <f t="shared" si="1"/>
        <v>350</v>
      </c>
    </row>
    <row r="53" ht="15.75" customHeight="1">
      <c r="A53" s="4" t="s">
        <v>80</v>
      </c>
      <c r="B53" s="5">
        <v>8.904223819284E12</v>
      </c>
      <c r="C53" s="6">
        <f>VLOOKUP(B53,'SKU Master (X)'!$A$1:$B$66,2,FALSE)</f>
        <v>350</v>
      </c>
      <c r="D53" s="4" t="s">
        <v>7</v>
      </c>
      <c r="E53" s="6">
        <f t="shared" si="1"/>
        <v>350</v>
      </c>
    </row>
    <row r="54" ht="15.75" customHeight="1">
      <c r="A54" s="4" t="s">
        <v>83</v>
      </c>
      <c r="B54" s="5">
        <v>8.904223816214E12</v>
      </c>
      <c r="C54" s="6">
        <f>VLOOKUP(B54,'SKU Master (X)'!$A$1:$B$66,2,FALSE)</f>
        <v>120</v>
      </c>
      <c r="D54" s="4" t="s">
        <v>7</v>
      </c>
      <c r="E54" s="6">
        <f t="shared" si="1"/>
        <v>120</v>
      </c>
    </row>
    <row r="55" ht="15.75" customHeight="1">
      <c r="A55" s="4" t="s">
        <v>83</v>
      </c>
      <c r="B55" s="5">
        <v>8.904223818874E12</v>
      </c>
      <c r="C55" s="6">
        <f>VLOOKUP(B55,'SKU Master (X)'!$A$1:$B$66,2,FALSE)</f>
        <v>100</v>
      </c>
      <c r="D55" s="4" t="s">
        <v>7</v>
      </c>
      <c r="E55" s="6">
        <f t="shared" si="1"/>
        <v>100</v>
      </c>
    </row>
    <row r="56" ht="15.75" customHeight="1">
      <c r="A56" s="4" t="s">
        <v>83</v>
      </c>
      <c r="B56" s="5">
        <v>8.904223819512E12</v>
      </c>
      <c r="C56" s="6">
        <f>VLOOKUP(B56,'SKU Master (X)'!$A$1:$B$66,2,FALSE)</f>
        <v>210</v>
      </c>
      <c r="D56" s="4" t="s">
        <v>7</v>
      </c>
      <c r="E56" s="6">
        <f t="shared" si="1"/>
        <v>210</v>
      </c>
    </row>
    <row r="57" ht="15.75" customHeight="1">
      <c r="A57" s="4" t="s">
        <v>83</v>
      </c>
      <c r="B57" s="5">
        <v>8.904223818881E12</v>
      </c>
      <c r="C57" s="6">
        <f>VLOOKUP(B57,'SKU Master (X)'!$A$1:$B$66,2,FALSE)</f>
        <v>140</v>
      </c>
      <c r="D57" s="4" t="s">
        <v>7</v>
      </c>
      <c r="E57" s="6">
        <f t="shared" si="1"/>
        <v>140</v>
      </c>
    </row>
    <row r="58" ht="15.75" customHeight="1">
      <c r="A58" s="4" t="s">
        <v>83</v>
      </c>
      <c r="B58" s="5">
        <v>8.904223819291E12</v>
      </c>
      <c r="C58" s="6">
        <f>VLOOKUP(B58,'SKU Master (X)'!$A$1:$B$66,2,FALSE)</f>
        <v>112</v>
      </c>
      <c r="D58" s="4" t="s">
        <v>15</v>
      </c>
      <c r="E58" s="6">
        <f t="shared" si="1"/>
        <v>224</v>
      </c>
    </row>
    <row r="59" ht="15.75" customHeight="1">
      <c r="A59" s="4" t="s">
        <v>83</v>
      </c>
      <c r="B59" s="5">
        <v>8.904223819031E12</v>
      </c>
      <c r="C59" s="6">
        <f>VLOOKUP(B59,'SKU Master (X)'!$A$1:$B$66,2,FALSE)</f>
        <v>112</v>
      </c>
      <c r="D59" s="4" t="s">
        <v>15</v>
      </c>
      <c r="E59" s="6">
        <f t="shared" si="1"/>
        <v>224</v>
      </c>
    </row>
    <row r="60" ht="15.75" customHeight="1">
      <c r="A60" s="4" t="s">
        <v>83</v>
      </c>
      <c r="B60" s="5">
        <v>8.904223819024E12</v>
      </c>
      <c r="C60" s="6">
        <f>VLOOKUP(B60,'SKU Master (X)'!$A$1:$B$66,2,FALSE)</f>
        <v>112</v>
      </c>
      <c r="D60" s="4" t="s">
        <v>15</v>
      </c>
      <c r="E60" s="6">
        <f t="shared" si="1"/>
        <v>224</v>
      </c>
    </row>
    <row r="61" ht="15.75" customHeight="1">
      <c r="A61" s="4" t="s">
        <v>83</v>
      </c>
      <c r="B61" s="5">
        <v>8.904223818553E12</v>
      </c>
      <c r="C61" s="6">
        <f>VLOOKUP(B61,'SKU Master (X)'!$A$1:$B$66,2,FALSE)</f>
        <v>115</v>
      </c>
      <c r="D61" s="4" t="s">
        <v>7</v>
      </c>
      <c r="E61" s="6">
        <f t="shared" si="1"/>
        <v>115</v>
      </c>
    </row>
    <row r="62" ht="15.75" customHeight="1">
      <c r="A62" s="4" t="s">
        <v>92</v>
      </c>
      <c r="B62" s="5">
        <v>8.904223818706E12</v>
      </c>
      <c r="C62" s="6">
        <f>VLOOKUP(B62,'SKU Master (X)'!$A$1:$B$66,2,FALSE)</f>
        <v>127</v>
      </c>
      <c r="D62" s="4" t="s">
        <v>7</v>
      </c>
      <c r="E62" s="6">
        <f t="shared" si="1"/>
        <v>127</v>
      </c>
    </row>
    <row r="63" ht="15.75" customHeight="1">
      <c r="A63" s="4" t="s">
        <v>92</v>
      </c>
      <c r="B63" s="5">
        <v>8.904223818942E12</v>
      </c>
      <c r="C63" s="6">
        <f>VLOOKUP(B63,'SKU Master (X)'!$A$1:$B$66,2,FALSE)</f>
        <v>133</v>
      </c>
      <c r="D63" s="4" t="s">
        <v>7</v>
      </c>
      <c r="E63" s="6">
        <f t="shared" si="1"/>
        <v>133</v>
      </c>
    </row>
    <row r="64" ht="15.75" customHeight="1">
      <c r="A64" s="4" t="s">
        <v>92</v>
      </c>
      <c r="B64" s="5">
        <v>8.90422381885E12</v>
      </c>
      <c r="C64" s="6">
        <f>VLOOKUP(B64,'SKU Master (X)'!$A$1:$B$66,2,FALSE)</f>
        <v>240</v>
      </c>
      <c r="D64" s="4" t="s">
        <v>7</v>
      </c>
      <c r="E64" s="6">
        <f t="shared" si="1"/>
        <v>240</v>
      </c>
    </row>
    <row r="65" ht="15.75" customHeight="1">
      <c r="A65" s="4" t="s">
        <v>96</v>
      </c>
      <c r="B65" s="5">
        <v>8.904223816214E12</v>
      </c>
      <c r="C65" s="6">
        <f>VLOOKUP(B65,'SKU Master (X)'!$A$1:$B$66,2,FALSE)</f>
        <v>120</v>
      </c>
      <c r="D65" s="4" t="s">
        <v>15</v>
      </c>
      <c r="E65" s="6">
        <f t="shared" si="1"/>
        <v>240</v>
      </c>
    </row>
    <row r="66" ht="15.75" customHeight="1">
      <c r="A66" s="4" t="s">
        <v>96</v>
      </c>
      <c r="B66" s="5">
        <v>8.904223818874E12</v>
      </c>
      <c r="C66" s="6">
        <f>VLOOKUP(B66,'SKU Master (X)'!$A$1:$B$66,2,FALSE)</f>
        <v>100</v>
      </c>
      <c r="D66" s="4" t="s">
        <v>15</v>
      </c>
      <c r="E66" s="6">
        <f t="shared" si="1"/>
        <v>200</v>
      </c>
    </row>
    <row r="67" ht="15.75" customHeight="1">
      <c r="A67" s="4" t="s">
        <v>96</v>
      </c>
      <c r="B67" s="5">
        <v>8.904223818935E12</v>
      </c>
      <c r="C67" s="6">
        <f>VLOOKUP(B67,'SKU Master (X)'!$A$1:$B$66,2,FALSE)</f>
        <v>120</v>
      </c>
      <c r="D67" s="4" t="s">
        <v>20</v>
      </c>
      <c r="E67" s="6">
        <f t="shared" si="1"/>
        <v>480</v>
      </c>
    </row>
    <row r="68" ht="15.75" customHeight="1">
      <c r="A68" s="4" t="s">
        <v>100</v>
      </c>
      <c r="B68" s="5">
        <v>8.904223816665E12</v>
      </c>
      <c r="C68" s="6">
        <f>VLOOKUP(B68,'SKU Master (X)'!$A$1:$B$66,2,FALSE)</f>
        <v>102</v>
      </c>
      <c r="D68" s="4" t="s">
        <v>15</v>
      </c>
      <c r="E68" s="6">
        <f t="shared" si="1"/>
        <v>204</v>
      </c>
    </row>
    <row r="69" ht="15.75" customHeight="1">
      <c r="A69" s="4" t="s">
        <v>100</v>
      </c>
      <c r="B69" s="5">
        <v>8.904223819277E12</v>
      </c>
      <c r="C69" s="6">
        <f>VLOOKUP(B69,'SKU Master (X)'!$A$1:$B$66,2,FALSE)</f>
        <v>350</v>
      </c>
      <c r="D69" s="4" t="s">
        <v>7</v>
      </c>
      <c r="E69" s="6">
        <f t="shared" si="1"/>
        <v>350</v>
      </c>
    </row>
    <row r="70" ht="15.75" customHeight="1">
      <c r="A70" s="4" t="s">
        <v>103</v>
      </c>
      <c r="B70" s="5">
        <v>8.904223816214E12</v>
      </c>
      <c r="C70" s="6">
        <f>VLOOKUP(B70,'SKU Master (X)'!$A$1:$B$66,2,FALSE)</f>
        <v>120</v>
      </c>
      <c r="D70" s="4" t="s">
        <v>7</v>
      </c>
      <c r="E70" s="6">
        <f t="shared" si="1"/>
        <v>120</v>
      </c>
    </row>
    <row r="71" ht="15.75" customHeight="1">
      <c r="A71" s="4" t="s">
        <v>103</v>
      </c>
      <c r="B71" s="5">
        <v>8.904223818874E12</v>
      </c>
      <c r="C71" s="6">
        <f>VLOOKUP(B71,'SKU Master (X)'!$A$1:$B$66,2,FALSE)</f>
        <v>100</v>
      </c>
      <c r="D71" s="4" t="s">
        <v>7</v>
      </c>
      <c r="E71" s="6">
        <f t="shared" si="1"/>
        <v>100</v>
      </c>
    </row>
    <row r="72" ht="15.75" customHeight="1">
      <c r="A72" s="4" t="s">
        <v>106</v>
      </c>
      <c r="B72" s="5">
        <v>8.904223818706E12</v>
      </c>
      <c r="C72" s="6">
        <f>VLOOKUP(B72,'SKU Master (X)'!$A$1:$B$66,2,FALSE)</f>
        <v>127</v>
      </c>
      <c r="D72" s="4" t="s">
        <v>7</v>
      </c>
      <c r="E72" s="6">
        <f t="shared" si="1"/>
        <v>127</v>
      </c>
    </row>
    <row r="73" ht="15.75" customHeight="1">
      <c r="A73" s="4" t="s">
        <v>108</v>
      </c>
      <c r="B73" s="5">
        <v>8.904223816214E12</v>
      </c>
      <c r="C73" s="6">
        <f>VLOOKUP(B73,'SKU Master (X)'!$A$1:$B$66,2,FALSE)</f>
        <v>120</v>
      </c>
      <c r="D73" s="4" t="s">
        <v>7</v>
      </c>
      <c r="E73" s="6">
        <f t="shared" si="1"/>
        <v>120</v>
      </c>
    </row>
    <row r="74" ht="15.75" customHeight="1">
      <c r="A74" s="4" t="s">
        <v>108</v>
      </c>
      <c r="B74" s="5">
        <v>8.904223818874E12</v>
      </c>
      <c r="C74" s="6">
        <f>VLOOKUP(B74,'SKU Master (X)'!$A$1:$B$66,2,FALSE)</f>
        <v>100</v>
      </c>
      <c r="D74" s="4" t="s">
        <v>7</v>
      </c>
      <c r="E74" s="6">
        <f t="shared" si="1"/>
        <v>100</v>
      </c>
    </row>
    <row r="75" ht="15.75" customHeight="1">
      <c r="A75" s="4" t="s">
        <v>108</v>
      </c>
      <c r="B75" s="5">
        <v>8.904223818706E12</v>
      </c>
      <c r="C75" s="6">
        <f>VLOOKUP(B75,'SKU Master (X)'!$A$1:$B$66,2,FALSE)</f>
        <v>127</v>
      </c>
      <c r="D75" s="4" t="s">
        <v>7</v>
      </c>
      <c r="E75" s="6">
        <f t="shared" si="1"/>
        <v>127</v>
      </c>
    </row>
    <row r="76" ht="15.75" customHeight="1">
      <c r="A76" s="4" t="s">
        <v>108</v>
      </c>
      <c r="B76" s="5">
        <v>8.904223818942E12</v>
      </c>
      <c r="C76" s="6">
        <f>VLOOKUP(B76,'SKU Master (X)'!$A$1:$B$66,2,FALSE)</f>
        <v>133</v>
      </c>
      <c r="D76" s="4" t="s">
        <v>7</v>
      </c>
      <c r="E76" s="6">
        <f t="shared" si="1"/>
        <v>133</v>
      </c>
    </row>
    <row r="77" ht="15.75" customHeight="1">
      <c r="A77" s="4" t="s">
        <v>108</v>
      </c>
      <c r="B77" s="5">
        <v>8.90422381885E12</v>
      </c>
      <c r="C77" s="6">
        <f>VLOOKUP(B77,'SKU Master (X)'!$A$1:$B$66,2,FALSE)</f>
        <v>240</v>
      </c>
      <c r="D77" s="4" t="s">
        <v>7</v>
      </c>
      <c r="E77" s="6">
        <f t="shared" si="1"/>
        <v>240</v>
      </c>
    </row>
    <row r="78" ht="15.75" customHeight="1">
      <c r="A78" s="4" t="s">
        <v>114</v>
      </c>
      <c r="B78" s="5">
        <v>8.904223818706E12</v>
      </c>
      <c r="C78" s="6">
        <f>VLOOKUP(B78,'SKU Master (X)'!$A$1:$B$66,2,FALSE)</f>
        <v>127</v>
      </c>
      <c r="D78" s="4" t="s">
        <v>7</v>
      </c>
      <c r="E78" s="6">
        <f t="shared" si="1"/>
        <v>127</v>
      </c>
    </row>
    <row r="79" ht="15.75" customHeight="1">
      <c r="A79" s="4" t="s">
        <v>114</v>
      </c>
      <c r="B79" s="5">
        <v>8.904223818942E12</v>
      </c>
      <c r="C79" s="6">
        <f>VLOOKUP(B79,'SKU Master (X)'!$A$1:$B$66,2,FALSE)</f>
        <v>133</v>
      </c>
      <c r="D79" s="4" t="s">
        <v>7</v>
      </c>
      <c r="E79" s="6">
        <f t="shared" si="1"/>
        <v>133</v>
      </c>
    </row>
    <row r="80" ht="15.75" customHeight="1">
      <c r="A80" s="4" t="s">
        <v>114</v>
      </c>
      <c r="B80" s="5">
        <v>8.90422381885E12</v>
      </c>
      <c r="C80" s="6">
        <f>VLOOKUP(B80,'SKU Master (X)'!$A$1:$B$66,2,FALSE)</f>
        <v>240</v>
      </c>
      <c r="D80" s="4" t="s">
        <v>7</v>
      </c>
      <c r="E80" s="6">
        <f t="shared" si="1"/>
        <v>240</v>
      </c>
    </row>
    <row r="81" ht="15.75" customHeight="1">
      <c r="A81" s="4" t="s">
        <v>118</v>
      </c>
      <c r="B81" s="5">
        <v>8.904223818478E12</v>
      </c>
      <c r="C81" s="6">
        <f>VLOOKUP(B81,'SKU Master (X)'!$A$1:$B$66,2,FALSE)</f>
        <v>350</v>
      </c>
      <c r="D81" s="4" t="s">
        <v>7</v>
      </c>
      <c r="E81" s="6">
        <f t="shared" si="1"/>
        <v>350</v>
      </c>
    </row>
    <row r="82" ht="15.75" customHeight="1">
      <c r="A82" s="4" t="s">
        <v>118</v>
      </c>
      <c r="B82" s="5">
        <v>8.90422381913E12</v>
      </c>
      <c r="C82" s="6">
        <f>VLOOKUP(B82,'SKU Master (X)'!$A$1:$B$66,2,FALSE)</f>
        <v>350</v>
      </c>
      <c r="D82" s="4" t="s">
        <v>7</v>
      </c>
      <c r="E82" s="6">
        <f t="shared" si="1"/>
        <v>350</v>
      </c>
    </row>
    <row r="83" ht="15.75" customHeight="1">
      <c r="A83" s="4" t="s">
        <v>118</v>
      </c>
      <c r="B83" s="5">
        <v>8.904223819277E12</v>
      </c>
      <c r="C83" s="6">
        <f>VLOOKUP(B83,'SKU Master (X)'!$A$1:$B$66,2,FALSE)</f>
        <v>350</v>
      </c>
      <c r="D83" s="4" t="s">
        <v>7</v>
      </c>
      <c r="E83" s="6">
        <f t="shared" si="1"/>
        <v>350</v>
      </c>
    </row>
    <row r="84" ht="15.75" customHeight="1">
      <c r="A84" s="4" t="s">
        <v>118</v>
      </c>
      <c r="B84" s="5">
        <v>8.904223819284E12</v>
      </c>
      <c r="C84" s="6">
        <f>VLOOKUP(B84,'SKU Master (X)'!$A$1:$B$66,2,FALSE)</f>
        <v>350</v>
      </c>
      <c r="D84" s="4" t="s">
        <v>7</v>
      </c>
      <c r="E84" s="6">
        <f t="shared" si="1"/>
        <v>350</v>
      </c>
    </row>
    <row r="85" ht="15.75" customHeight="1">
      <c r="A85" s="4" t="s">
        <v>118</v>
      </c>
      <c r="B85" s="7" t="s">
        <v>123</v>
      </c>
      <c r="C85" s="6">
        <f>VLOOKUP(B85,'SKU Master (X)'!$A$1:$B$66,2,FALSE)</f>
        <v>500</v>
      </c>
      <c r="D85" s="4" t="s">
        <v>7</v>
      </c>
      <c r="E85" s="6">
        <f t="shared" si="1"/>
        <v>500</v>
      </c>
    </row>
    <row r="86" ht="15.75" customHeight="1">
      <c r="A86" s="4" t="s">
        <v>118</v>
      </c>
      <c r="B86" s="5">
        <v>8.904223819291E12</v>
      </c>
      <c r="C86" s="6">
        <f>VLOOKUP(B86,'SKU Master (X)'!$A$1:$B$66,2,FALSE)</f>
        <v>112</v>
      </c>
      <c r="D86" s="4" t="s">
        <v>15</v>
      </c>
      <c r="E86" s="6">
        <f t="shared" si="1"/>
        <v>224</v>
      </c>
    </row>
    <row r="87" ht="15.75" customHeight="1">
      <c r="A87" s="4" t="s">
        <v>118</v>
      </c>
      <c r="B87" s="5">
        <v>8.904223819031E12</v>
      </c>
      <c r="C87" s="6">
        <f>VLOOKUP(B87,'SKU Master (X)'!$A$1:$B$66,2,FALSE)</f>
        <v>112</v>
      </c>
      <c r="D87" s="4" t="s">
        <v>15</v>
      </c>
      <c r="E87" s="6">
        <f t="shared" si="1"/>
        <v>224</v>
      </c>
    </row>
    <row r="88" ht="15.75" customHeight="1">
      <c r="A88" s="4" t="s">
        <v>118</v>
      </c>
      <c r="B88" s="5">
        <v>8.904223819024E12</v>
      </c>
      <c r="C88" s="6">
        <f>VLOOKUP(B88,'SKU Master (X)'!$A$1:$B$66,2,FALSE)</f>
        <v>112</v>
      </c>
      <c r="D88" s="4" t="s">
        <v>15</v>
      </c>
      <c r="E88" s="6">
        <f t="shared" si="1"/>
        <v>224</v>
      </c>
    </row>
    <row r="89" ht="15.75" customHeight="1">
      <c r="A89" s="4" t="s">
        <v>128</v>
      </c>
      <c r="B89" s="5">
        <v>8.90422381898E12</v>
      </c>
      <c r="C89" s="6">
        <f>VLOOKUP(B89,'SKU Master (X)'!$A$1:$B$66,2,FALSE)</f>
        <v>110</v>
      </c>
      <c r="D89" s="4" t="s">
        <v>7</v>
      </c>
      <c r="E89" s="6">
        <f t="shared" si="1"/>
        <v>110</v>
      </c>
    </row>
    <row r="90" ht="15.75" customHeight="1">
      <c r="A90" s="4" t="s">
        <v>128</v>
      </c>
      <c r="B90" s="5">
        <v>8.904223819031E12</v>
      </c>
      <c r="C90" s="6">
        <f>VLOOKUP(B90,'SKU Master (X)'!$A$1:$B$66,2,FALSE)</f>
        <v>112</v>
      </c>
      <c r="D90" s="4" t="s">
        <v>20</v>
      </c>
      <c r="E90" s="6">
        <f t="shared" si="1"/>
        <v>448</v>
      </c>
    </row>
    <row r="91" ht="15.75" customHeight="1">
      <c r="A91" s="4" t="s">
        <v>131</v>
      </c>
      <c r="B91" s="5">
        <v>8.904223819031E12</v>
      </c>
      <c r="C91" s="6">
        <f>VLOOKUP(B91,'SKU Master (X)'!$A$1:$B$66,2,FALSE)</f>
        <v>112</v>
      </c>
      <c r="D91" s="4" t="s">
        <v>20</v>
      </c>
      <c r="E91" s="6">
        <f t="shared" si="1"/>
        <v>448</v>
      </c>
    </row>
    <row r="92" ht="15.75" customHeight="1">
      <c r="A92" s="4" t="s">
        <v>131</v>
      </c>
      <c r="B92" s="5">
        <v>8.904223819017E12</v>
      </c>
      <c r="C92" s="6">
        <f>VLOOKUP(B92,'SKU Master (X)'!$A$1:$B$66,2,FALSE)</f>
        <v>115</v>
      </c>
      <c r="D92" s="4" t="s">
        <v>7</v>
      </c>
      <c r="E92" s="6">
        <f t="shared" si="1"/>
        <v>115</v>
      </c>
    </row>
    <row r="93" ht="15.75" customHeight="1">
      <c r="A93" s="4" t="s">
        <v>134</v>
      </c>
      <c r="B93" s="5">
        <v>8.904223818706E12</v>
      </c>
      <c r="C93" s="6">
        <f>VLOOKUP(B93,'SKU Master (X)'!$A$1:$B$66,2,FALSE)</f>
        <v>127</v>
      </c>
      <c r="D93" s="4" t="s">
        <v>7</v>
      </c>
      <c r="E93" s="6">
        <f t="shared" si="1"/>
        <v>127</v>
      </c>
    </row>
    <row r="94" ht="15.75" customHeight="1">
      <c r="A94" s="4" t="s">
        <v>134</v>
      </c>
      <c r="B94" s="5">
        <v>8.904223818942E12</v>
      </c>
      <c r="C94" s="6">
        <f>VLOOKUP(B94,'SKU Master (X)'!$A$1:$B$66,2,FALSE)</f>
        <v>133</v>
      </c>
      <c r="D94" s="4" t="s">
        <v>7</v>
      </c>
      <c r="E94" s="6">
        <f t="shared" si="1"/>
        <v>133</v>
      </c>
    </row>
    <row r="95" ht="15.75" customHeight="1">
      <c r="A95" s="4" t="s">
        <v>134</v>
      </c>
      <c r="B95" s="5">
        <v>8.90422381885E12</v>
      </c>
      <c r="C95" s="6">
        <f>VLOOKUP(B95,'SKU Master (X)'!$A$1:$B$66,2,FALSE)</f>
        <v>240</v>
      </c>
      <c r="D95" s="4" t="s">
        <v>7</v>
      </c>
      <c r="E95" s="6">
        <f t="shared" si="1"/>
        <v>240</v>
      </c>
    </row>
    <row r="96" ht="15.75" customHeight="1">
      <c r="A96" s="4" t="s">
        <v>137</v>
      </c>
      <c r="B96" s="5">
        <v>8.904223818706E12</v>
      </c>
      <c r="C96" s="6">
        <f>VLOOKUP(B96,'SKU Master (X)'!$A$1:$B$66,2,FALSE)</f>
        <v>127</v>
      </c>
      <c r="D96" s="4" t="s">
        <v>7</v>
      </c>
      <c r="E96" s="6">
        <f t="shared" si="1"/>
        <v>127</v>
      </c>
    </row>
    <row r="97" ht="15.75" customHeight="1">
      <c r="A97" s="4" t="s">
        <v>137</v>
      </c>
      <c r="B97" s="5">
        <v>8.904223818942E12</v>
      </c>
      <c r="C97" s="6">
        <f>VLOOKUP(B97,'SKU Master (X)'!$A$1:$B$66,2,FALSE)</f>
        <v>133</v>
      </c>
      <c r="D97" s="4" t="s">
        <v>7</v>
      </c>
      <c r="E97" s="6">
        <f t="shared" si="1"/>
        <v>133</v>
      </c>
    </row>
    <row r="98" ht="15.75" customHeight="1">
      <c r="A98" s="4" t="s">
        <v>137</v>
      </c>
      <c r="B98" s="5">
        <v>8.90422381885E12</v>
      </c>
      <c r="C98" s="6">
        <f>VLOOKUP(B98,'SKU Master (X)'!$A$1:$B$66,2,FALSE)</f>
        <v>240</v>
      </c>
      <c r="D98" s="4" t="s">
        <v>7</v>
      </c>
      <c r="E98" s="6">
        <f t="shared" si="1"/>
        <v>240</v>
      </c>
    </row>
    <row r="99" ht="15.75" customHeight="1">
      <c r="A99" s="4" t="s">
        <v>136</v>
      </c>
      <c r="B99" s="5">
        <v>8.904223816214E12</v>
      </c>
      <c r="C99" s="6">
        <f>VLOOKUP(B99,'SKU Master (X)'!$A$1:$B$66,2,FALSE)</f>
        <v>120</v>
      </c>
      <c r="D99" s="4" t="s">
        <v>7</v>
      </c>
      <c r="E99" s="6">
        <f t="shared" si="1"/>
        <v>120</v>
      </c>
    </row>
    <row r="100" ht="15.75" customHeight="1">
      <c r="A100" s="4" t="s">
        <v>136</v>
      </c>
      <c r="B100" s="5">
        <v>8.904223818669E12</v>
      </c>
      <c r="C100" s="6">
        <f>VLOOKUP(B100,'SKU Master (X)'!$A$1:$B$66,2,FALSE)</f>
        <v>240</v>
      </c>
      <c r="D100" s="4" t="s">
        <v>15</v>
      </c>
      <c r="E100" s="6">
        <f t="shared" si="1"/>
        <v>480</v>
      </c>
    </row>
    <row r="101" ht="15.75" customHeight="1">
      <c r="A101" s="4" t="s">
        <v>136</v>
      </c>
      <c r="B101" s="5">
        <v>8.904223818683E12</v>
      </c>
      <c r="C101" s="6">
        <f>VLOOKUP(B101,'SKU Master (X)'!$A$1:$B$66,2,FALSE)</f>
        <v>121</v>
      </c>
      <c r="D101" s="4" t="s">
        <v>7</v>
      </c>
      <c r="E101" s="6">
        <f t="shared" si="1"/>
        <v>121</v>
      </c>
    </row>
    <row r="102" ht="15.75" customHeight="1">
      <c r="A102" s="4" t="s">
        <v>135</v>
      </c>
      <c r="B102" s="5">
        <v>8.904223818706E12</v>
      </c>
      <c r="C102" s="6">
        <f>VLOOKUP(B102,'SKU Master (X)'!$A$1:$B$66,2,FALSE)</f>
        <v>127</v>
      </c>
      <c r="D102" s="4" t="s">
        <v>7</v>
      </c>
      <c r="E102" s="6">
        <f t="shared" si="1"/>
        <v>127</v>
      </c>
    </row>
    <row r="103" ht="15.75" customHeight="1">
      <c r="A103" s="4" t="s">
        <v>135</v>
      </c>
      <c r="B103" s="5">
        <v>8.904223818669E12</v>
      </c>
      <c r="C103" s="6">
        <f>VLOOKUP(B103,'SKU Master (X)'!$A$1:$B$66,2,FALSE)</f>
        <v>240</v>
      </c>
      <c r="D103" s="4" t="s">
        <v>7</v>
      </c>
      <c r="E103" s="6">
        <f t="shared" si="1"/>
        <v>240</v>
      </c>
    </row>
    <row r="104" ht="15.75" customHeight="1">
      <c r="A104" s="4" t="s">
        <v>135</v>
      </c>
      <c r="B104" s="5">
        <v>8.904223819499E12</v>
      </c>
      <c r="C104" s="6">
        <f>VLOOKUP(B104,'SKU Master (X)'!$A$1:$B$66,2,FALSE)</f>
        <v>210</v>
      </c>
      <c r="D104" s="4" t="s">
        <v>7</v>
      </c>
      <c r="E104" s="6">
        <f t="shared" si="1"/>
        <v>210</v>
      </c>
    </row>
    <row r="105" ht="15.75" customHeight="1">
      <c r="A105" s="4" t="s">
        <v>135</v>
      </c>
      <c r="B105" s="5">
        <v>8.904223819031E12</v>
      </c>
      <c r="C105" s="6">
        <f>VLOOKUP(B105,'SKU Master (X)'!$A$1:$B$66,2,FALSE)</f>
        <v>112</v>
      </c>
      <c r="D105" s="4" t="s">
        <v>7</v>
      </c>
      <c r="E105" s="6">
        <f t="shared" si="1"/>
        <v>112</v>
      </c>
    </row>
    <row r="106" ht="15.75" customHeight="1">
      <c r="A106" s="4" t="s">
        <v>133</v>
      </c>
      <c r="B106" s="5">
        <v>8.904223818706E12</v>
      </c>
      <c r="C106" s="6">
        <f>VLOOKUP(B106,'SKU Master (X)'!$A$1:$B$66,2,FALSE)</f>
        <v>127</v>
      </c>
      <c r="D106" s="4" t="s">
        <v>7</v>
      </c>
      <c r="E106" s="6">
        <f t="shared" si="1"/>
        <v>127</v>
      </c>
    </row>
    <row r="107" ht="15.75" customHeight="1">
      <c r="A107" s="4" t="s">
        <v>133</v>
      </c>
      <c r="B107" s="5">
        <v>8.90422381885E12</v>
      </c>
      <c r="C107" s="6">
        <f>VLOOKUP(B107,'SKU Master (X)'!$A$1:$B$66,2,FALSE)</f>
        <v>240</v>
      </c>
      <c r="D107" s="4" t="s">
        <v>7</v>
      </c>
      <c r="E107" s="6">
        <f t="shared" si="1"/>
        <v>240</v>
      </c>
    </row>
    <row r="108" ht="15.75" customHeight="1">
      <c r="A108" s="4" t="s">
        <v>133</v>
      </c>
      <c r="B108" s="5">
        <v>8.904223819468E12</v>
      </c>
      <c r="C108" s="6">
        <f>VLOOKUP(B108,'SKU Master (X)'!$A$1:$B$66,2,FALSE)</f>
        <v>240</v>
      </c>
      <c r="D108" s="4" t="s">
        <v>7</v>
      </c>
      <c r="E108" s="6">
        <f t="shared" si="1"/>
        <v>240</v>
      </c>
    </row>
    <row r="109" ht="15.75" customHeight="1">
      <c r="A109" s="4" t="s">
        <v>132</v>
      </c>
      <c r="B109" s="5">
        <v>8.904223815859E12</v>
      </c>
      <c r="C109" s="6">
        <f>VLOOKUP(B109,'SKU Master (X)'!$A$1:$B$66,2,FALSE)</f>
        <v>165</v>
      </c>
      <c r="D109" s="4" t="s">
        <v>7</v>
      </c>
      <c r="E109" s="6">
        <f t="shared" si="1"/>
        <v>165</v>
      </c>
    </row>
    <row r="110" ht="15.75" customHeight="1">
      <c r="A110" s="4" t="s">
        <v>132</v>
      </c>
      <c r="B110" s="5">
        <v>8.904223818751E12</v>
      </c>
      <c r="C110" s="6">
        <f>VLOOKUP(B110,'SKU Master (X)'!$A$1:$B$66,2,FALSE)</f>
        <v>113</v>
      </c>
      <c r="D110" s="4" t="s">
        <v>7</v>
      </c>
      <c r="E110" s="6">
        <f t="shared" si="1"/>
        <v>113</v>
      </c>
    </row>
    <row r="111" ht="15.75" customHeight="1">
      <c r="A111" s="4" t="s">
        <v>132</v>
      </c>
      <c r="B111" s="5">
        <v>8.904223815873E12</v>
      </c>
      <c r="C111" s="6">
        <f>VLOOKUP(B111,'SKU Master (X)'!$A$1:$B$66,2,FALSE)</f>
        <v>65</v>
      </c>
      <c r="D111" s="4" t="s">
        <v>7</v>
      </c>
      <c r="E111" s="6">
        <f t="shared" si="1"/>
        <v>65</v>
      </c>
    </row>
    <row r="112" ht="15.75" customHeight="1">
      <c r="A112" s="4" t="s">
        <v>132</v>
      </c>
      <c r="B112" s="5">
        <v>8.904223815859E12</v>
      </c>
      <c r="C112" s="6">
        <f>VLOOKUP(B112,'SKU Master (X)'!$A$1:$B$66,2,FALSE)</f>
        <v>165</v>
      </c>
      <c r="D112" s="4" t="s">
        <v>7</v>
      </c>
      <c r="E112" s="6">
        <f t="shared" si="1"/>
        <v>165</v>
      </c>
    </row>
    <row r="113" ht="15.75" customHeight="1">
      <c r="A113" s="4" t="s">
        <v>130</v>
      </c>
      <c r="B113" s="5">
        <v>8.904223819352E12</v>
      </c>
      <c r="C113" s="6">
        <f>VLOOKUP(B113,'SKU Master (X)'!$A$1:$B$66,2,FALSE)</f>
        <v>165</v>
      </c>
      <c r="D113" s="4" t="s">
        <v>7</v>
      </c>
      <c r="E113" s="6">
        <f t="shared" si="1"/>
        <v>165</v>
      </c>
    </row>
    <row r="114" ht="15.75" customHeight="1">
      <c r="A114" s="4" t="s">
        <v>130</v>
      </c>
      <c r="B114" s="5">
        <v>8.904223819543E12</v>
      </c>
      <c r="C114" s="6">
        <f>VLOOKUP(B114,'SKU Master (X)'!$A$1:$B$66,2,FALSE)</f>
        <v>300</v>
      </c>
      <c r="D114" s="4" t="s">
        <v>7</v>
      </c>
      <c r="E114" s="6">
        <f t="shared" si="1"/>
        <v>300</v>
      </c>
    </row>
    <row r="115" ht="15.75" customHeight="1">
      <c r="A115" s="4" t="s">
        <v>130</v>
      </c>
      <c r="B115" s="5">
        <v>8.904223819147E12</v>
      </c>
      <c r="C115" s="6">
        <f>VLOOKUP(B115,'SKU Master (X)'!$A$1:$B$66,2,FALSE)</f>
        <v>240</v>
      </c>
      <c r="D115" s="4" t="s">
        <v>7</v>
      </c>
      <c r="E115" s="6">
        <f t="shared" si="1"/>
        <v>240</v>
      </c>
    </row>
    <row r="116" ht="15.75" customHeight="1">
      <c r="A116" s="4" t="s">
        <v>130</v>
      </c>
      <c r="B116" s="5">
        <v>8.904223819468E12</v>
      </c>
      <c r="C116" s="6">
        <f>VLOOKUP(B116,'SKU Master (X)'!$A$1:$B$66,2,FALSE)</f>
        <v>240</v>
      </c>
      <c r="D116" s="4" t="s">
        <v>7</v>
      </c>
      <c r="E116" s="6">
        <f t="shared" si="1"/>
        <v>240</v>
      </c>
    </row>
    <row r="117" ht="15.75" customHeight="1">
      <c r="A117" s="4" t="s">
        <v>129</v>
      </c>
      <c r="B117" s="5">
        <v>8.904223816214E12</v>
      </c>
      <c r="C117" s="6">
        <f>VLOOKUP(B117,'SKU Master (X)'!$A$1:$B$66,2,FALSE)</f>
        <v>120</v>
      </c>
      <c r="D117" s="4" t="s">
        <v>7</v>
      </c>
      <c r="E117" s="6">
        <f t="shared" si="1"/>
        <v>120</v>
      </c>
    </row>
    <row r="118" ht="15.75" customHeight="1">
      <c r="A118" s="4" t="s">
        <v>129</v>
      </c>
      <c r="B118" s="5">
        <v>8.904223819499E12</v>
      </c>
      <c r="C118" s="6">
        <f>VLOOKUP(B118,'SKU Master (X)'!$A$1:$B$66,2,FALSE)</f>
        <v>210</v>
      </c>
      <c r="D118" s="4" t="s">
        <v>7</v>
      </c>
      <c r="E118" s="6">
        <f t="shared" si="1"/>
        <v>210</v>
      </c>
    </row>
    <row r="119" ht="15.75" customHeight="1">
      <c r="A119" s="4" t="s">
        <v>129</v>
      </c>
      <c r="B119" s="5">
        <v>8.904223819505E12</v>
      </c>
      <c r="C119" s="6">
        <f>VLOOKUP(B119,'SKU Master (X)'!$A$1:$B$66,2,FALSE)</f>
        <v>210</v>
      </c>
      <c r="D119" s="4" t="s">
        <v>7</v>
      </c>
      <c r="E119" s="6">
        <f t="shared" si="1"/>
        <v>210</v>
      </c>
    </row>
    <row r="120" ht="15.75" customHeight="1">
      <c r="A120" s="4" t="s">
        <v>129</v>
      </c>
      <c r="B120" s="5">
        <v>8.904223819512E12</v>
      </c>
      <c r="C120" s="6">
        <f>VLOOKUP(B120,'SKU Master (X)'!$A$1:$B$66,2,FALSE)</f>
        <v>210</v>
      </c>
      <c r="D120" s="4" t="s">
        <v>7</v>
      </c>
      <c r="E120" s="6">
        <f t="shared" si="1"/>
        <v>210</v>
      </c>
    </row>
    <row r="121" ht="15.75" customHeight="1">
      <c r="A121" s="4" t="s">
        <v>127</v>
      </c>
      <c r="B121" s="5">
        <v>8.904223819468E12</v>
      </c>
      <c r="C121" s="6">
        <f>VLOOKUP(B121,'SKU Master (X)'!$A$1:$B$66,2,FALSE)</f>
        <v>240</v>
      </c>
      <c r="D121" s="4" t="s">
        <v>7</v>
      </c>
      <c r="E121" s="6">
        <f t="shared" si="1"/>
        <v>240</v>
      </c>
    </row>
    <row r="122" ht="15.75" customHeight="1">
      <c r="A122" s="4" t="s">
        <v>127</v>
      </c>
      <c r="B122" s="5">
        <v>8.904223819345E12</v>
      </c>
      <c r="C122" s="6">
        <f>VLOOKUP(B122,'SKU Master (X)'!$A$1:$B$66,2,FALSE)</f>
        <v>165</v>
      </c>
      <c r="D122" s="4" t="s">
        <v>7</v>
      </c>
      <c r="E122" s="6">
        <f t="shared" si="1"/>
        <v>165</v>
      </c>
    </row>
    <row r="123" ht="15.75" customHeight="1">
      <c r="A123" s="4" t="s">
        <v>127</v>
      </c>
      <c r="B123" s="5">
        <v>8.904223818874E12</v>
      </c>
      <c r="C123" s="6">
        <f>VLOOKUP(B123,'SKU Master (X)'!$A$1:$B$66,2,FALSE)</f>
        <v>100</v>
      </c>
      <c r="D123" s="4" t="s">
        <v>7</v>
      </c>
      <c r="E123" s="6">
        <f t="shared" si="1"/>
        <v>100</v>
      </c>
    </row>
    <row r="124" ht="15.75" customHeight="1">
      <c r="A124" s="4" t="s">
        <v>126</v>
      </c>
      <c r="B124" s="5">
        <v>8.904223816214E12</v>
      </c>
      <c r="C124" s="6">
        <f>VLOOKUP(B124,'SKU Master (X)'!$A$1:$B$66,2,FALSE)</f>
        <v>120</v>
      </c>
      <c r="D124" s="4" t="s">
        <v>7</v>
      </c>
      <c r="E124" s="6">
        <f t="shared" si="1"/>
        <v>120</v>
      </c>
    </row>
    <row r="125" ht="15.75" customHeight="1">
      <c r="A125" s="4" t="s">
        <v>126</v>
      </c>
      <c r="B125" s="5">
        <v>8.904223818874E12</v>
      </c>
      <c r="C125" s="6">
        <f>VLOOKUP(B125,'SKU Master (X)'!$A$1:$B$66,2,FALSE)</f>
        <v>100</v>
      </c>
      <c r="D125" s="4" t="s">
        <v>7</v>
      </c>
      <c r="E125" s="6">
        <f t="shared" si="1"/>
        <v>100</v>
      </c>
    </row>
    <row r="126" ht="15.75" customHeight="1">
      <c r="A126" s="4" t="s">
        <v>126</v>
      </c>
      <c r="B126" s="5">
        <v>8.904223818881E12</v>
      </c>
      <c r="C126" s="6">
        <f>VLOOKUP(B126,'SKU Master (X)'!$A$1:$B$66,2,FALSE)</f>
        <v>140</v>
      </c>
      <c r="D126" s="4" t="s">
        <v>7</v>
      </c>
      <c r="E126" s="6">
        <f t="shared" si="1"/>
        <v>140</v>
      </c>
    </row>
    <row r="127" ht="15.75" customHeight="1">
      <c r="A127" s="4" t="s">
        <v>126</v>
      </c>
      <c r="B127" s="5">
        <v>8.904223819291E12</v>
      </c>
      <c r="C127" s="6">
        <f>VLOOKUP(B127,'SKU Master (X)'!$A$1:$B$66,2,FALSE)</f>
        <v>112</v>
      </c>
      <c r="D127" s="4" t="s">
        <v>15</v>
      </c>
      <c r="E127" s="6">
        <f t="shared" si="1"/>
        <v>224</v>
      </c>
    </row>
    <row r="128" ht="15.75" customHeight="1">
      <c r="A128" s="4" t="s">
        <v>126</v>
      </c>
      <c r="B128" s="5">
        <v>8.904223819031E12</v>
      </c>
      <c r="C128" s="6">
        <f>VLOOKUP(B128,'SKU Master (X)'!$A$1:$B$66,2,FALSE)</f>
        <v>112</v>
      </c>
      <c r="D128" s="4" t="s">
        <v>15</v>
      </c>
      <c r="E128" s="6">
        <f t="shared" si="1"/>
        <v>224</v>
      </c>
    </row>
    <row r="129" ht="15.75" customHeight="1">
      <c r="A129" s="4" t="s">
        <v>126</v>
      </c>
      <c r="B129" s="5">
        <v>8.904223819024E12</v>
      </c>
      <c r="C129" s="6">
        <f>VLOOKUP(B129,'SKU Master (X)'!$A$1:$B$66,2,FALSE)</f>
        <v>112</v>
      </c>
      <c r="D129" s="4" t="s">
        <v>15</v>
      </c>
      <c r="E129" s="6">
        <f t="shared" si="1"/>
        <v>224</v>
      </c>
    </row>
    <row r="130" ht="15.75" customHeight="1">
      <c r="A130" s="4" t="s">
        <v>125</v>
      </c>
      <c r="B130" s="5">
        <v>8.904223818706E12</v>
      </c>
      <c r="C130" s="6">
        <f>VLOOKUP(B130,'SKU Master (X)'!$A$1:$B$66,2,FALSE)</f>
        <v>127</v>
      </c>
      <c r="D130" s="4" t="s">
        <v>7</v>
      </c>
      <c r="E130" s="6">
        <f t="shared" si="1"/>
        <v>127</v>
      </c>
    </row>
    <row r="131" ht="15.75" customHeight="1">
      <c r="A131" s="4" t="s">
        <v>125</v>
      </c>
      <c r="B131" s="5">
        <v>8.90422381885E12</v>
      </c>
      <c r="C131" s="6">
        <f>VLOOKUP(B131,'SKU Master (X)'!$A$1:$B$66,2,FALSE)</f>
        <v>240</v>
      </c>
      <c r="D131" s="4" t="s">
        <v>7</v>
      </c>
      <c r="E131" s="6">
        <f t="shared" si="1"/>
        <v>240</v>
      </c>
    </row>
    <row r="132" ht="15.75" customHeight="1">
      <c r="A132" s="4" t="s">
        <v>125</v>
      </c>
      <c r="B132" s="5">
        <v>8.904223819468E12</v>
      </c>
      <c r="C132" s="6">
        <f>VLOOKUP(B132,'SKU Master (X)'!$A$1:$B$66,2,FALSE)</f>
        <v>240</v>
      </c>
      <c r="D132" s="4" t="s">
        <v>7</v>
      </c>
      <c r="E132" s="6">
        <f t="shared" si="1"/>
        <v>240</v>
      </c>
    </row>
    <row r="133" ht="15.75" customHeight="1">
      <c r="A133" s="4" t="s">
        <v>124</v>
      </c>
      <c r="B133" s="5">
        <v>8.904223818706E12</v>
      </c>
      <c r="C133" s="6">
        <f>VLOOKUP(B133,'SKU Master (X)'!$A$1:$B$66,2,FALSE)</f>
        <v>127</v>
      </c>
      <c r="D133" s="4" t="s">
        <v>7</v>
      </c>
      <c r="E133" s="6">
        <f t="shared" si="1"/>
        <v>127</v>
      </c>
    </row>
    <row r="134" ht="15.75" customHeight="1">
      <c r="A134" s="4" t="s">
        <v>124</v>
      </c>
      <c r="B134" s="5">
        <v>8.904223818942E12</v>
      </c>
      <c r="C134" s="6">
        <f>VLOOKUP(B134,'SKU Master (X)'!$A$1:$B$66,2,FALSE)</f>
        <v>133</v>
      </c>
      <c r="D134" s="4" t="s">
        <v>7</v>
      </c>
      <c r="E134" s="6">
        <f t="shared" si="1"/>
        <v>133</v>
      </c>
    </row>
    <row r="135" ht="15.75" customHeight="1">
      <c r="A135" s="4" t="s">
        <v>124</v>
      </c>
      <c r="B135" s="5">
        <v>8.90422381885E12</v>
      </c>
      <c r="C135" s="6">
        <f>VLOOKUP(B135,'SKU Master (X)'!$A$1:$B$66,2,FALSE)</f>
        <v>240</v>
      </c>
      <c r="D135" s="4" t="s">
        <v>7</v>
      </c>
      <c r="E135" s="6">
        <f t="shared" si="1"/>
        <v>240</v>
      </c>
    </row>
    <row r="136" ht="15.75" customHeight="1">
      <c r="A136" s="4" t="s">
        <v>122</v>
      </c>
      <c r="B136" s="5">
        <v>8.904223818706E12</v>
      </c>
      <c r="C136" s="6">
        <f>VLOOKUP(B136,'SKU Master (X)'!$A$1:$B$66,2,FALSE)</f>
        <v>127</v>
      </c>
      <c r="D136" s="4" t="s">
        <v>7</v>
      </c>
      <c r="E136" s="6">
        <f t="shared" si="1"/>
        <v>127</v>
      </c>
    </row>
    <row r="137" ht="15.75" customHeight="1">
      <c r="A137" s="4" t="s">
        <v>122</v>
      </c>
      <c r="B137" s="5">
        <v>8.904223818683E12</v>
      </c>
      <c r="C137" s="6">
        <f>VLOOKUP(B137,'SKU Master (X)'!$A$1:$B$66,2,FALSE)</f>
        <v>121</v>
      </c>
      <c r="D137" s="4" t="s">
        <v>7</v>
      </c>
      <c r="E137" s="6">
        <f t="shared" si="1"/>
        <v>121</v>
      </c>
    </row>
    <row r="138" ht="15.75" customHeight="1">
      <c r="A138" s="4" t="s">
        <v>122</v>
      </c>
      <c r="B138" s="5">
        <v>8.90422381885E12</v>
      </c>
      <c r="C138" s="6">
        <f>VLOOKUP(B138,'SKU Master (X)'!$A$1:$B$66,2,FALSE)</f>
        <v>240</v>
      </c>
      <c r="D138" s="4" t="s">
        <v>7</v>
      </c>
      <c r="E138" s="6">
        <f t="shared" si="1"/>
        <v>240</v>
      </c>
    </row>
    <row r="139" ht="15.75" customHeight="1">
      <c r="A139" s="4" t="s">
        <v>121</v>
      </c>
      <c r="B139" s="5">
        <v>8.904223818706E12</v>
      </c>
      <c r="C139" s="6">
        <f>VLOOKUP(B139,'SKU Master (X)'!$A$1:$B$66,2,FALSE)</f>
        <v>127</v>
      </c>
      <c r="D139" s="4" t="s">
        <v>7</v>
      </c>
      <c r="E139" s="6">
        <f t="shared" si="1"/>
        <v>127</v>
      </c>
    </row>
    <row r="140" ht="15.75" customHeight="1">
      <c r="A140" s="4" t="s">
        <v>121</v>
      </c>
      <c r="B140" s="5">
        <v>8.90422381885E12</v>
      </c>
      <c r="C140" s="6">
        <f>VLOOKUP(B140,'SKU Master (X)'!$A$1:$B$66,2,FALSE)</f>
        <v>240</v>
      </c>
      <c r="D140" s="4" t="s">
        <v>7</v>
      </c>
      <c r="E140" s="6">
        <f t="shared" si="1"/>
        <v>240</v>
      </c>
    </row>
    <row r="141" ht="15.75" customHeight="1">
      <c r="A141" s="4" t="s">
        <v>121</v>
      </c>
      <c r="B141" s="5">
        <v>8.904223819468E12</v>
      </c>
      <c r="C141" s="6">
        <f>VLOOKUP(B141,'SKU Master (X)'!$A$1:$B$66,2,FALSE)</f>
        <v>240</v>
      </c>
      <c r="D141" s="4" t="s">
        <v>7</v>
      </c>
      <c r="E141" s="6">
        <f t="shared" si="1"/>
        <v>240</v>
      </c>
    </row>
    <row r="142" ht="15.75" customHeight="1">
      <c r="A142" s="4" t="s">
        <v>120</v>
      </c>
      <c r="B142" s="5">
        <v>8.904223819468E12</v>
      </c>
      <c r="C142" s="6">
        <f>VLOOKUP(B142,'SKU Master (X)'!$A$1:$B$66,2,FALSE)</f>
        <v>240</v>
      </c>
      <c r="D142" s="4" t="s">
        <v>7</v>
      </c>
      <c r="E142" s="6">
        <f t="shared" si="1"/>
        <v>240</v>
      </c>
    </row>
    <row r="143" ht="15.75" customHeight="1">
      <c r="A143" s="4" t="s">
        <v>120</v>
      </c>
      <c r="B143" s="5">
        <v>8.904223818454E12</v>
      </c>
      <c r="C143" s="6">
        <f>VLOOKUP(B143,'SKU Master (X)'!$A$1:$B$66,2,FALSE)</f>
        <v>232</v>
      </c>
      <c r="D143" s="4" t="s">
        <v>7</v>
      </c>
      <c r="E143" s="6">
        <f t="shared" si="1"/>
        <v>232</v>
      </c>
    </row>
    <row r="144" ht="15.75" customHeight="1">
      <c r="A144" s="4" t="s">
        <v>120</v>
      </c>
      <c r="B144" s="5">
        <v>8.904223818669E12</v>
      </c>
      <c r="C144" s="6">
        <f>VLOOKUP(B144,'SKU Master (X)'!$A$1:$B$66,2,FALSE)</f>
        <v>240</v>
      </c>
      <c r="D144" s="4" t="s">
        <v>7</v>
      </c>
      <c r="E144" s="6">
        <f t="shared" si="1"/>
        <v>240</v>
      </c>
    </row>
    <row r="145" ht="15.75" customHeight="1">
      <c r="A145" s="4" t="s">
        <v>120</v>
      </c>
      <c r="B145" s="5">
        <v>8.904223818638E12</v>
      </c>
      <c r="C145" s="6">
        <f>VLOOKUP(B145,'SKU Master (X)'!$A$1:$B$66,2,FALSE)</f>
        <v>137</v>
      </c>
      <c r="D145" s="4" t="s">
        <v>15</v>
      </c>
      <c r="E145" s="6">
        <f t="shared" si="1"/>
        <v>274</v>
      </c>
    </row>
    <row r="146" ht="15.75" customHeight="1">
      <c r="A146" s="4" t="s">
        <v>119</v>
      </c>
      <c r="B146" s="5">
        <v>8.904223818706E12</v>
      </c>
      <c r="C146" s="6">
        <f>VLOOKUP(B146,'SKU Master (X)'!$A$1:$B$66,2,FALSE)</f>
        <v>127</v>
      </c>
      <c r="D146" s="4" t="s">
        <v>7</v>
      </c>
      <c r="E146" s="6">
        <f t="shared" si="1"/>
        <v>127</v>
      </c>
    </row>
    <row r="147" ht="15.75" customHeight="1">
      <c r="A147" s="4" t="s">
        <v>119</v>
      </c>
      <c r="B147" s="5">
        <v>8.904223818942E12</v>
      </c>
      <c r="C147" s="6">
        <f>VLOOKUP(B147,'SKU Master (X)'!$A$1:$B$66,2,FALSE)</f>
        <v>133</v>
      </c>
      <c r="D147" s="4" t="s">
        <v>7</v>
      </c>
      <c r="E147" s="6">
        <f t="shared" si="1"/>
        <v>133</v>
      </c>
    </row>
    <row r="148" ht="15.75" customHeight="1">
      <c r="A148" s="4" t="s">
        <v>119</v>
      </c>
      <c r="B148" s="5">
        <v>8.90422381885E12</v>
      </c>
      <c r="C148" s="6">
        <f>VLOOKUP(B148,'SKU Master (X)'!$A$1:$B$66,2,FALSE)</f>
        <v>240</v>
      </c>
      <c r="D148" s="4" t="s">
        <v>7</v>
      </c>
      <c r="E148" s="6">
        <f t="shared" si="1"/>
        <v>240</v>
      </c>
    </row>
    <row r="149" ht="15.75" customHeight="1">
      <c r="A149" s="4" t="s">
        <v>117</v>
      </c>
      <c r="B149" s="5">
        <v>8.904223818706E12</v>
      </c>
      <c r="C149" s="6">
        <f>VLOOKUP(B149,'SKU Master (X)'!$A$1:$B$66,2,FALSE)</f>
        <v>127</v>
      </c>
      <c r="D149" s="4" t="s">
        <v>7</v>
      </c>
      <c r="E149" s="6">
        <f t="shared" si="1"/>
        <v>127</v>
      </c>
    </row>
    <row r="150" ht="15.75" customHeight="1">
      <c r="A150" s="4" t="s">
        <v>117</v>
      </c>
      <c r="B150" s="5">
        <v>8.904223818942E12</v>
      </c>
      <c r="C150" s="6">
        <f>VLOOKUP(B150,'SKU Master (X)'!$A$1:$B$66,2,FALSE)</f>
        <v>133</v>
      </c>
      <c r="D150" s="4" t="s">
        <v>7</v>
      </c>
      <c r="E150" s="6">
        <f t="shared" si="1"/>
        <v>133</v>
      </c>
    </row>
    <row r="151" ht="15.75" customHeight="1">
      <c r="A151" s="4" t="s">
        <v>117</v>
      </c>
      <c r="B151" s="5">
        <v>8.90422381885E12</v>
      </c>
      <c r="C151" s="6">
        <f>VLOOKUP(B151,'SKU Master (X)'!$A$1:$B$66,2,FALSE)</f>
        <v>240</v>
      </c>
      <c r="D151" s="4" t="s">
        <v>7</v>
      </c>
      <c r="E151" s="6">
        <f t="shared" si="1"/>
        <v>240</v>
      </c>
    </row>
    <row r="152" ht="15.75" customHeight="1">
      <c r="A152" s="4" t="s">
        <v>116</v>
      </c>
      <c r="B152" s="5">
        <v>8.90422381885E12</v>
      </c>
      <c r="C152" s="6">
        <f>VLOOKUP(B152,'SKU Master (X)'!$A$1:$B$66,2,FALSE)</f>
        <v>240</v>
      </c>
      <c r="D152" s="4" t="s">
        <v>7</v>
      </c>
      <c r="E152" s="6">
        <f t="shared" si="1"/>
        <v>240</v>
      </c>
    </row>
    <row r="153" ht="15.75" customHeight="1">
      <c r="A153" s="4" t="s">
        <v>116</v>
      </c>
      <c r="B153" s="5">
        <v>8.904223818683E12</v>
      </c>
      <c r="C153" s="6">
        <f>VLOOKUP(B153,'SKU Master (X)'!$A$1:$B$66,2,FALSE)</f>
        <v>121</v>
      </c>
      <c r="D153" s="4" t="s">
        <v>7</v>
      </c>
      <c r="E153" s="6">
        <f t="shared" si="1"/>
        <v>121</v>
      </c>
    </row>
    <row r="154" ht="15.75" customHeight="1">
      <c r="A154" s="4" t="s">
        <v>116</v>
      </c>
      <c r="B154" s="5">
        <v>8.904223819468E12</v>
      </c>
      <c r="C154" s="6">
        <f>VLOOKUP(B154,'SKU Master (X)'!$A$1:$B$66,2,FALSE)</f>
        <v>240</v>
      </c>
      <c r="D154" s="4" t="s">
        <v>7</v>
      </c>
      <c r="E154" s="6">
        <f t="shared" si="1"/>
        <v>240</v>
      </c>
    </row>
    <row r="155" ht="15.75" customHeight="1">
      <c r="A155" s="4" t="s">
        <v>115</v>
      </c>
      <c r="B155" s="5">
        <v>8.90422381885E12</v>
      </c>
      <c r="C155" s="6">
        <f>VLOOKUP(B155,'SKU Master (X)'!$A$1:$B$66,2,FALSE)</f>
        <v>240</v>
      </c>
      <c r="D155" s="4" t="s">
        <v>7</v>
      </c>
      <c r="E155" s="6">
        <f t="shared" si="1"/>
        <v>240</v>
      </c>
    </row>
    <row r="156" ht="15.75" customHeight="1">
      <c r="A156" s="4" t="s">
        <v>115</v>
      </c>
      <c r="B156" s="5">
        <v>8.904223818683E12</v>
      </c>
      <c r="C156" s="6">
        <f>VLOOKUP(B156,'SKU Master (X)'!$A$1:$B$66,2,FALSE)</f>
        <v>121</v>
      </c>
      <c r="D156" s="4" t="s">
        <v>7</v>
      </c>
      <c r="E156" s="6">
        <f t="shared" si="1"/>
        <v>121</v>
      </c>
    </row>
    <row r="157" ht="15.75" customHeight="1">
      <c r="A157" s="4" t="s">
        <v>113</v>
      </c>
      <c r="B157" s="5">
        <v>8.904223819499E12</v>
      </c>
      <c r="C157" s="6">
        <f>VLOOKUP(B157,'SKU Master (X)'!$A$1:$B$66,2,FALSE)</f>
        <v>210</v>
      </c>
      <c r="D157" s="4" t="s">
        <v>7</v>
      </c>
      <c r="E157" s="6">
        <f t="shared" si="1"/>
        <v>210</v>
      </c>
    </row>
    <row r="158" ht="15.75" customHeight="1">
      <c r="A158" s="4" t="s">
        <v>113</v>
      </c>
      <c r="B158" s="5">
        <v>8.904223819505E12</v>
      </c>
      <c r="C158" s="6">
        <f>VLOOKUP(B158,'SKU Master (X)'!$A$1:$B$66,2,FALSE)</f>
        <v>210</v>
      </c>
      <c r="D158" s="4" t="s">
        <v>7</v>
      </c>
      <c r="E158" s="6">
        <f t="shared" si="1"/>
        <v>210</v>
      </c>
    </row>
    <row r="159" ht="15.75" customHeight="1">
      <c r="A159" s="4" t="s">
        <v>113</v>
      </c>
      <c r="B159" s="5">
        <v>8.904223819512E12</v>
      </c>
      <c r="C159" s="6">
        <f>VLOOKUP(B159,'SKU Master (X)'!$A$1:$B$66,2,FALSE)</f>
        <v>210</v>
      </c>
      <c r="D159" s="4" t="s">
        <v>7</v>
      </c>
      <c r="E159" s="6">
        <f t="shared" si="1"/>
        <v>210</v>
      </c>
    </row>
    <row r="160" ht="15.75" customHeight="1">
      <c r="A160" s="4" t="s">
        <v>112</v>
      </c>
      <c r="B160" s="5">
        <v>8.904223819277E12</v>
      </c>
      <c r="C160" s="6">
        <f>VLOOKUP(B160,'SKU Master (X)'!$A$1:$B$66,2,FALSE)</f>
        <v>350</v>
      </c>
      <c r="D160" s="4" t="s">
        <v>7</v>
      </c>
      <c r="E160" s="6">
        <f t="shared" si="1"/>
        <v>350</v>
      </c>
    </row>
    <row r="161" ht="15.75" customHeight="1">
      <c r="A161" s="4" t="s">
        <v>112</v>
      </c>
      <c r="B161" s="5">
        <v>8.904223818478E12</v>
      </c>
      <c r="C161" s="6">
        <f>VLOOKUP(B161,'SKU Master (X)'!$A$1:$B$66,2,FALSE)</f>
        <v>350</v>
      </c>
      <c r="D161" s="4" t="s">
        <v>7</v>
      </c>
      <c r="E161" s="6">
        <f t="shared" si="1"/>
        <v>350</v>
      </c>
    </row>
    <row r="162" ht="15.75" customHeight="1">
      <c r="A162" s="4" t="s">
        <v>112</v>
      </c>
      <c r="B162" s="5">
        <v>8.904223819284E12</v>
      </c>
      <c r="C162" s="6">
        <f>VLOOKUP(B162,'SKU Master (X)'!$A$1:$B$66,2,FALSE)</f>
        <v>350</v>
      </c>
      <c r="D162" s="4" t="s">
        <v>7</v>
      </c>
      <c r="E162" s="6">
        <f t="shared" si="1"/>
        <v>350</v>
      </c>
    </row>
    <row r="163" ht="15.75" customHeight="1">
      <c r="A163" s="4" t="s">
        <v>112</v>
      </c>
      <c r="B163" s="5">
        <v>8.90422381913E12</v>
      </c>
      <c r="C163" s="6">
        <f>VLOOKUP(B163,'SKU Master (X)'!$A$1:$B$66,2,FALSE)</f>
        <v>350</v>
      </c>
      <c r="D163" s="4" t="s">
        <v>7</v>
      </c>
      <c r="E163" s="6">
        <f t="shared" si="1"/>
        <v>350</v>
      </c>
    </row>
    <row r="164" ht="15.75" customHeight="1">
      <c r="A164" s="4" t="s">
        <v>112</v>
      </c>
      <c r="B164" s="5">
        <v>8.904223819031E12</v>
      </c>
      <c r="C164" s="6">
        <f>VLOOKUP(B164,'SKU Master (X)'!$A$1:$B$66,2,FALSE)</f>
        <v>112</v>
      </c>
      <c r="D164" s="4" t="s">
        <v>15</v>
      </c>
      <c r="E164" s="6">
        <f t="shared" si="1"/>
        <v>224</v>
      </c>
    </row>
    <row r="165" ht="15.75" customHeight="1">
      <c r="A165" s="4" t="s">
        <v>112</v>
      </c>
      <c r="B165" s="5">
        <v>8.904223819024E12</v>
      </c>
      <c r="C165" s="6">
        <f>VLOOKUP(B165,'SKU Master (X)'!$A$1:$B$66,2,FALSE)</f>
        <v>112</v>
      </c>
      <c r="D165" s="4" t="s">
        <v>15</v>
      </c>
      <c r="E165" s="6">
        <f t="shared" si="1"/>
        <v>224</v>
      </c>
    </row>
    <row r="166" ht="15.75" customHeight="1">
      <c r="A166" s="4" t="s">
        <v>112</v>
      </c>
      <c r="B166" s="5">
        <v>8.904223816214E12</v>
      </c>
      <c r="C166" s="6">
        <f>VLOOKUP(B166,'SKU Master (X)'!$A$1:$B$66,2,FALSE)</f>
        <v>120</v>
      </c>
      <c r="D166" s="4" t="s">
        <v>7</v>
      </c>
      <c r="E166" s="6">
        <f t="shared" si="1"/>
        <v>120</v>
      </c>
    </row>
    <row r="167" ht="15.75" customHeight="1">
      <c r="A167" s="4" t="s">
        <v>112</v>
      </c>
      <c r="B167" s="5">
        <v>8.904223818874E12</v>
      </c>
      <c r="C167" s="6">
        <f>VLOOKUP(B167,'SKU Master (X)'!$A$1:$B$66,2,FALSE)</f>
        <v>100</v>
      </c>
      <c r="D167" s="4" t="s">
        <v>7</v>
      </c>
      <c r="E167" s="6">
        <f t="shared" si="1"/>
        <v>100</v>
      </c>
    </row>
    <row r="168" ht="15.75" customHeight="1">
      <c r="A168" s="4" t="s">
        <v>112</v>
      </c>
      <c r="B168" s="5">
        <v>8.904223818881E12</v>
      </c>
      <c r="C168" s="6">
        <f>VLOOKUP(B168,'SKU Master (X)'!$A$1:$B$66,2,FALSE)</f>
        <v>140</v>
      </c>
      <c r="D168" s="4" t="s">
        <v>7</v>
      </c>
      <c r="E168" s="6">
        <f t="shared" si="1"/>
        <v>140</v>
      </c>
    </row>
    <row r="169" ht="15.75" customHeight="1">
      <c r="A169" s="4" t="s">
        <v>112</v>
      </c>
      <c r="B169" s="5">
        <v>8.904223818898E12</v>
      </c>
      <c r="C169" s="6">
        <f>VLOOKUP(B169,'SKU Master (X)'!$A$1:$B$66,2,FALSE)</f>
        <v>140</v>
      </c>
      <c r="D169" s="4" t="s">
        <v>7</v>
      </c>
      <c r="E169" s="6">
        <f t="shared" si="1"/>
        <v>140</v>
      </c>
    </row>
    <row r="170" ht="15.75" customHeight="1">
      <c r="A170" s="4" t="s">
        <v>112</v>
      </c>
      <c r="B170" s="5">
        <v>8.904223818706E12</v>
      </c>
      <c r="C170" s="6">
        <f>VLOOKUP(B170,'SKU Master (X)'!$A$1:$B$66,2,FALSE)</f>
        <v>127</v>
      </c>
      <c r="D170" s="4" t="s">
        <v>7</v>
      </c>
      <c r="E170" s="6">
        <f t="shared" si="1"/>
        <v>127</v>
      </c>
    </row>
    <row r="171" ht="15.75" customHeight="1">
      <c r="A171" s="4" t="s">
        <v>112</v>
      </c>
      <c r="B171" s="5">
        <v>8.904223818942E12</v>
      </c>
      <c r="C171" s="6">
        <f>VLOOKUP(B171,'SKU Master (X)'!$A$1:$B$66,2,FALSE)</f>
        <v>133</v>
      </c>
      <c r="D171" s="4" t="s">
        <v>7</v>
      </c>
      <c r="E171" s="6">
        <f t="shared" si="1"/>
        <v>133</v>
      </c>
    </row>
    <row r="172" ht="15.75" customHeight="1">
      <c r="A172" s="4" t="s">
        <v>112</v>
      </c>
      <c r="B172" s="5">
        <v>8.90422381885E12</v>
      </c>
      <c r="C172" s="6">
        <f>VLOOKUP(B172,'SKU Master (X)'!$A$1:$B$66,2,FALSE)</f>
        <v>240</v>
      </c>
      <c r="D172" s="4" t="s">
        <v>7</v>
      </c>
      <c r="E172" s="6">
        <f t="shared" si="1"/>
        <v>240</v>
      </c>
    </row>
    <row r="173" ht="15.75" customHeight="1">
      <c r="A173" s="4" t="s">
        <v>112</v>
      </c>
      <c r="B173" s="5">
        <v>8.904223818454E12</v>
      </c>
      <c r="C173" s="6">
        <f>VLOOKUP(B173,'SKU Master (X)'!$A$1:$B$66,2,FALSE)</f>
        <v>232</v>
      </c>
      <c r="D173" s="4" t="s">
        <v>7</v>
      </c>
      <c r="E173" s="6">
        <f t="shared" si="1"/>
        <v>232</v>
      </c>
    </row>
    <row r="174" ht="15.75" customHeight="1">
      <c r="A174" s="4" t="s">
        <v>111</v>
      </c>
      <c r="B174" s="5">
        <v>8.904223819284E12</v>
      </c>
      <c r="C174" s="6">
        <f>VLOOKUP(B174,'SKU Master (X)'!$A$1:$B$66,2,FALSE)</f>
        <v>350</v>
      </c>
      <c r="D174" s="4" t="s">
        <v>7</v>
      </c>
      <c r="E174" s="6">
        <f t="shared" si="1"/>
        <v>350</v>
      </c>
    </row>
    <row r="175" ht="15.75" customHeight="1">
      <c r="A175" s="4" t="s">
        <v>111</v>
      </c>
      <c r="B175" s="5">
        <v>8.904223819352E12</v>
      </c>
      <c r="C175" s="6">
        <f>VLOOKUP(B175,'SKU Master (X)'!$A$1:$B$66,2,FALSE)</f>
        <v>165</v>
      </c>
      <c r="D175" s="4" t="s">
        <v>7</v>
      </c>
      <c r="E175" s="6">
        <f t="shared" si="1"/>
        <v>165</v>
      </c>
    </row>
    <row r="176" ht="15.75" customHeight="1">
      <c r="A176" s="4" t="s">
        <v>111</v>
      </c>
      <c r="B176" s="5">
        <v>8.904223818935E12</v>
      </c>
      <c r="C176" s="6">
        <f>VLOOKUP(B176,'SKU Master (X)'!$A$1:$B$66,2,FALSE)</f>
        <v>120</v>
      </c>
      <c r="D176" s="4" t="s">
        <v>7</v>
      </c>
      <c r="E176" s="6">
        <f t="shared" si="1"/>
        <v>120</v>
      </c>
    </row>
    <row r="177" ht="15.75" customHeight="1">
      <c r="A177" s="4" t="s">
        <v>111</v>
      </c>
      <c r="B177" s="5">
        <v>8.904223816214E12</v>
      </c>
      <c r="C177" s="6">
        <f>VLOOKUP(B177,'SKU Master (X)'!$A$1:$B$66,2,FALSE)</f>
        <v>120</v>
      </c>
      <c r="D177" s="4" t="s">
        <v>7</v>
      </c>
      <c r="E177" s="6">
        <f t="shared" si="1"/>
        <v>120</v>
      </c>
    </row>
    <row r="178" ht="15.75" customHeight="1">
      <c r="A178" s="4" t="s">
        <v>111</v>
      </c>
      <c r="B178" s="5">
        <v>8.904223818454E12</v>
      </c>
      <c r="C178" s="6">
        <f>VLOOKUP(B178,'SKU Master (X)'!$A$1:$B$66,2,FALSE)</f>
        <v>232</v>
      </c>
      <c r="D178" s="4" t="s">
        <v>7</v>
      </c>
      <c r="E178" s="6">
        <f t="shared" si="1"/>
        <v>232</v>
      </c>
    </row>
    <row r="179" ht="15.75" customHeight="1">
      <c r="A179" s="4" t="s">
        <v>111</v>
      </c>
      <c r="B179" s="7" t="s">
        <v>138</v>
      </c>
      <c r="C179" s="6">
        <f>VLOOKUP(B179,'SKU Master (X)'!$A$1:$B$66,2,FALSE)</f>
        <v>500</v>
      </c>
      <c r="D179" s="4" t="s">
        <v>7</v>
      </c>
      <c r="E179" s="6">
        <f t="shared" si="1"/>
        <v>500</v>
      </c>
    </row>
    <row r="180" ht="15.75" customHeight="1">
      <c r="A180" s="4" t="s">
        <v>111</v>
      </c>
      <c r="B180" s="5">
        <v>8.904223819116E12</v>
      </c>
      <c r="C180" s="6">
        <f>VLOOKUP(B180,'SKU Master (X)'!$A$1:$B$66,2,FALSE)</f>
        <v>30</v>
      </c>
      <c r="D180" s="4" t="s">
        <v>7</v>
      </c>
      <c r="E180" s="6">
        <f t="shared" si="1"/>
        <v>30</v>
      </c>
    </row>
    <row r="181" ht="15.75" customHeight="1">
      <c r="A181" s="4" t="s">
        <v>110</v>
      </c>
      <c r="B181" s="5">
        <v>8.904223818706E12</v>
      </c>
      <c r="C181" s="6">
        <f>VLOOKUP(B181,'SKU Master (X)'!$A$1:$B$66,2,FALSE)</f>
        <v>127</v>
      </c>
      <c r="D181" s="4" t="s">
        <v>7</v>
      </c>
      <c r="E181" s="6">
        <f t="shared" si="1"/>
        <v>127</v>
      </c>
    </row>
    <row r="182" ht="15.75" customHeight="1">
      <c r="A182" s="4" t="s">
        <v>110</v>
      </c>
      <c r="B182" s="5">
        <v>8.904223819024E12</v>
      </c>
      <c r="C182" s="6">
        <f>VLOOKUP(B182,'SKU Master (X)'!$A$1:$B$66,2,FALSE)</f>
        <v>112</v>
      </c>
      <c r="D182" s="4" t="s">
        <v>33</v>
      </c>
      <c r="E182" s="6">
        <f t="shared" si="1"/>
        <v>896</v>
      </c>
    </row>
    <row r="183" ht="15.75" customHeight="1">
      <c r="A183" s="4" t="s">
        <v>110</v>
      </c>
      <c r="B183" s="5">
        <v>8.904223818683E12</v>
      </c>
      <c r="C183" s="6">
        <f>VLOOKUP(B183,'SKU Master (X)'!$A$1:$B$66,2,FALSE)</f>
        <v>121</v>
      </c>
      <c r="D183" s="4" t="s">
        <v>15</v>
      </c>
      <c r="E183" s="6">
        <f t="shared" si="1"/>
        <v>242</v>
      </c>
    </row>
    <row r="184" ht="15.75" customHeight="1">
      <c r="A184" s="4" t="s">
        <v>110</v>
      </c>
      <c r="B184" s="5">
        <v>8.90422381885E12</v>
      </c>
      <c r="C184" s="6">
        <f>VLOOKUP(B184,'SKU Master (X)'!$A$1:$B$66,2,FALSE)</f>
        <v>240</v>
      </c>
      <c r="D184" s="4" t="s">
        <v>7</v>
      </c>
      <c r="E184" s="6">
        <f t="shared" si="1"/>
        <v>240</v>
      </c>
    </row>
    <row r="185" ht="15.75" customHeight="1">
      <c r="A185" s="4" t="s">
        <v>109</v>
      </c>
      <c r="B185" s="5">
        <v>8.904223818706E12</v>
      </c>
      <c r="C185" s="6">
        <f>VLOOKUP(B185,'SKU Master (X)'!$A$1:$B$66,2,FALSE)</f>
        <v>127</v>
      </c>
      <c r="D185" s="4" t="s">
        <v>7</v>
      </c>
      <c r="E185" s="6">
        <f t="shared" si="1"/>
        <v>127</v>
      </c>
    </row>
    <row r="186" ht="15.75" customHeight="1">
      <c r="A186" s="4" t="s">
        <v>109</v>
      </c>
      <c r="B186" s="5">
        <v>8.90422381885E12</v>
      </c>
      <c r="C186" s="6">
        <f>VLOOKUP(B186,'SKU Master (X)'!$A$1:$B$66,2,FALSE)</f>
        <v>240</v>
      </c>
      <c r="D186" s="4" t="s">
        <v>7</v>
      </c>
      <c r="E186" s="6">
        <f t="shared" si="1"/>
        <v>240</v>
      </c>
    </row>
    <row r="187" ht="15.75" customHeight="1">
      <c r="A187" s="4" t="s">
        <v>109</v>
      </c>
      <c r="B187" s="5">
        <v>8.904223819468E12</v>
      </c>
      <c r="C187" s="6">
        <f>VLOOKUP(B187,'SKU Master (X)'!$A$1:$B$66,2,FALSE)</f>
        <v>240</v>
      </c>
      <c r="D187" s="4" t="s">
        <v>7</v>
      </c>
      <c r="E187" s="6">
        <f t="shared" si="1"/>
        <v>240</v>
      </c>
    </row>
    <row r="188" ht="15.75" customHeight="1">
      <c r="A188" s="4" t="s">
        <v>107</v>
      </c>
      <c r="B188" s="5">
        <v>8.904223818706E12</v>
      </c>
      <c r="C188" s="6">
        <f>VLOOKUP(B188,'SKU Master (X)'!$A$1:$B$66,2,FALSE)</f>
        <v>127</v>
      </c>
      <c r="D188" s="4" t="s">
        <v>7</v>
      </c>
      <c r="E188" s="6">
        <f t="shared" si="1"/>
        <v>127</v>
      </c>
    </row>
    <row r="189" ht="15.75" customHeight="1">
      <c r="A189" s="4" t="s">
        <v>107</v>
      </c>
      <c r="B189" s="5">
        <v>8.904223818942E12</v>
      </c>
      <c r="C189" s="6">
        <f>VLOOKUP(B189,'SKU Master (X)'!$A$1:$B$66,2,FALSE)</f>
        <v>133</v>
      </c>
      <c r="D189" s="4" t="s">
        <v>7</v>
      </c>
      <c r="E189" s="6">
        <f t="shared" si="1"/>
        <v>133</v>
      </c>
    </row>
    <row r="190" ht="15.75" customHeight="1">
      <c r="A190" s="4" t="s">
        <v>107</v>
      </c>
      <c r="B190" s="5">
        <v>8.90422381885E12</v>
      </c>
      <c r="C190" s="6">
        <f>VLOOKUP(B190,'SKU Master (X)'!$A$1:$B$66,2,FALSE)</f>
        <v>240</v>
      </c>
      <c r="D190" s="4" t="s">
        <v>7</v>
      </c>
      <c r="E190" s="6">
        <f t="shared" si="1"/>
        <v>240</v>
      </c>
    </row>
    <row r="191" ht="15.75" customHeight="1">
      <c r="A191" s="4" t="s">
        <v>105</v>
      </c>
      <c r="B191" s="5">
        <v>8.904223818706E12</v>
      </c>
      <c r="C191" s="6">
        <f>VLOOKUP(B191,'SKU Master (X)'!$A$1:$B$66,2,FALSE)</f>
        <v>127</v>
      </c>
      <c r="D191" s="4" t="s">
        <v>7</v>
      </c>
      <c r="E191" s="6">
        <f t="shared" si="1"/>
        <v>127</v>
      </c>
    </row>
    <row r="192" ht="15.75" customHeight="1">
      <c r="A192" s="4" t="s">
        <v>105</v>
      </c>
      <c r="B192" s="5">
        <v>8.904223818942E12</v>
      </c>
      <c r="C192" s="6">
        <f>VLOOKUP(B192,'SKU Master (X)'!$A$1:$B$66,2,FALSE)</f>
        <v>133</v>
      </c>
      <c r="D192" s="4" t="s">
        <v>7</v>
      </c>
      <c r="E192" s="6">
        <f t="shared" si="1"/>
        <v>133</v>
      </c>
    </row>
    <row r="193" ht="15.75" customHeight="1">
      <c r="A193" s="4" t="s">
        <v>105</v>
      </c>
      <c r="B193" s="5">
        <v>8.90422381885E12</v>
      </c>
      <c r="C193" s="6">
        <f>VLOOKUP(B193,'SKU Master (X)'!$A$1:$B$66,2,FALSE)</f>
        <v>240</v>
      </c>
      <c r="D193" s="4" t="s">
        <v>7</v>
      </c>
      <c r="E193" s="6">
        <f t="shared" si="1"/>
        <v>240</v>
      </c>
    </row>
    <row r="194" ht="15.75" customHeight="1">
      <c r="A194" s="4" t="s">
        <v>104</v>
      </c>
      <c r="B194" s="5">
        <v>8.904223818706E12</v>
      </c>
      <c r="C194" s="6">
        <f>VLOOKUP(B194,'SKU Master (X)'!$A$1:$B$66,2,FALSE)</f>
        <v>127</v>
      </c>
      <c r="D194" s="4" t="s">
        <v>7</v>
      </c>
      <c r="E194" s="6">
        <f t="shared" si="1"/>
        <v>127</v>
      </c>
    </row>
    <row r="195" ht="15.75" customHeight="1">
      <c r="A195" s="4" t="s">
        <v>104</v>
      </c>
      <c r="B195" s="5">
        <v>8.904223818942E12</v>
      </c>
      <c r="C195" s="6">
        <f>VLOOKUP(B195,'SKU Master (X)'!$A$1:$B$66,2,FALSE)</f>
        <v>133</v>
      </c>
      <c r="D195" s="4" t="s">
        <v>7</v>
      </c>
      <c r="E195" s="6">
        <f t="shared" si="1"/>
        <v>133</v>
      </c>
    </row>
    <row r="196" ht="15.75" customHeight="1">
      <c r="A196" s="4" t="s">
        <v>104</v>
      </c>
      <c r="B196" s="5">
        <v>8.90422381885E12</v>
      </c>
      <c r="C196" s="6">
        <f>VLOOKUP(B196,'SKU Master (X)'!$A$1:$B$66,2,FALSE)</f>
        <v>240</v>
      </c>
      <c r="D196" s="4" t="s">
        <v>7</v>
      </c>
      <c r="E196" s="6">
        <f t="shared" si="1"/>
        <v>240</v>
      </c>
    </row>
    <row r="197" ht="15.75" customHeight="1">
      <c r="A197" s="4" t="s">
        <v>102</v>
      </c>
      <c r="B197" s="5">
        <v>8.904223818706E12</v>
      </c>
      <c r="C197" s="6">
        <f>VLOOKUP(B197,'SKU Master (X)'!$A$1:$B$66,2,FALSE)</f>
        <v>127</v>
      </c>
      <c r="D197" s="4" t="s">
        <v>7</v>
      </c>
      <c r="E197" s="6">
        <f t="shared" si="1"/>
        <v>127</v>
      </c>
    </row>
    <row r="198" ht="15.75" customHeight="1">
      <c r="A198" s="4" t="s">
        <v>102</v>
      </c>
      <c r="B198" s="5">
        <v>8.904223818942E12</v>
      </c>
      <c r="C198" s="6">
        <f>VLOOKUP(B198,'SKU Master (X)'!$A$1:$B$66,2,FALSE)</f>
        <v>133</v>
      </c>
      <c r="D198" s="4" t="s">
        <v>7</v>
      </c>
      <c r="E198" s="6">
        <f t="shared" si="1"/>
        <v>133</v>
      </c>
    </row>
    <row r="199" ht="15.75" customHeight="1">
      <c r="A199" s="4" t="s">
        <v>102</v>
      </c>
      <c r="B199" s="5">
        <v>8.90422381885E12</v>
      </c>
      <c r="C199" s="6">
        <f>VLOOKUP(B199,'SKU Master (X)'!$A$1:$B$66,2,FALSE)</f>
        <v>240</v>
      </c>
      <c r="D199" s="4" t="s">
        <v>7</v>
      </c>
      <c r="E199" s="6">
        <f t="shared" si="1"/>
        <v>240</v>
      </c>
    </row>
    <row r="200" ht="15.75" customHeight="1">
      <c r="A200" s="4" t="s">
        <v>101</v>
      </c>
      <c r="B200" s="5">
        <v>8.904223819338E12</v>
      </c>
      <c r="C200" s="6">
        <f>VLOOKUP(B200,'SKU Master (X)'!$A$1:$B$66,2,FALSE)</f>
        <v>600</v>
      </c>
      <c r="D200" s="4" t="s">
        <v>7</v>
      </c>
      <c r="E200" s="6">
        <f t="shared" si="1"/>
        <v>600</v>
      </c>
    </row>
    <row r="201" ht="15.75" customHeight="1">
      <c r="A201" s="4" t="s">
        <v>99</v>
      </c>
      <c r="B201" s="5">
        <v>8.904223817273E12</v>
      </c>
      <c r="C201" s="6">
        <f>VLOOKUP(B201,'SKU Master (X)'!$A$1:$B$66,2,FALSE)</f>
        <v>65</v>
      </c>
      <c r="D201" s="4" t="s">
        <v>15</v>
      </c>
      <c r="E201" s="6">
        <f t="shared" si="1"/>
        <v>130</v>
      </c>
    </row>
    <row r="202" ht="15.75" customHeight="1">
      <c r="A202" s="4" t="s">
        <v>99</v>
      </c>
      <c r="B202" s="5">
        <v>8.904223815866E12</v>
      </c>
      <c r="C202" s="6">
        <f>VLOOKUP(B202,'SKU Master (X)'!$A$1:$B$66,2,FALSE)</f>
        <v>113</v>
      </c>
      <c r="D202" s="4" t="s">
        <v>15</v>
      </c>
      <c r="E202" s="6">
        <f t="shared" si="1"/>
        <v>226</v>
      </c>
    </row>
    <row r="203" ht="15.75" customHeight="1">
      <c r="A203" s="4" t="s">
        <v>99</v>
      </c>
      <c r="B203" s="5">
        <v>8.904223815859E12</v>
      </c>
      <c r="C203" s="6">
        <f>VLOOKUP(B203,'SKU Master (X)'!$A$1:$B$66,2,FALSE)</f>
        <v>165</v>
      </c>
      <c r="D203" s="4" t="s">
        <v>7</v>
      </c>
      <c r="E203" s="6">
        <f t="shared" si="1"/>
        <v>165</v>
      </c>
    </row>
    <row r="204" ht="15.75" customHeight="1">
      <c r="A204" s="4" t="s">
        <v>99</v>
      </c>
      <c r="B204" s="5">
        <v>8.904223815682E12</v>
      </c>
      <c r="C204" s="6">
        <f>VLOOKUP(B204,'SKU Master (X)'!$A$1:$B$66,2,FALSE)</f>
        <v>210</v>
      </c>
      <c r="D204" s="4" t="s">
        <v>7</v>
      </c>
      <c r="E204" s="6">
        <f t="shared" si="1"/>
        <v>210</v>
      </c>
    </row>
    <row r="205" ht="15.75" customHeight="1">
      <c r="A205" s="4" t="s">
        <v>98</v>
      </c>
      <c r="B205" s="5">
        <v>8.904223816214E12</v>
      </c>
      <c r="C205" s="6">
        <f>VLOOKUP(B205,'SKU Master (X)'!$A$1:$B$66,2,FALSE)</f>
        <v>120</v>
      </c>
      <c r="D205" s="4" t="s">
        <v>7</v>
      </c>
      <c r="E205" s="6">
        <f t="shared" si="1"/>
        <v>120</v>
      </c>
    </row>
    <row r="206" ht="15.75" customHeight="1">
      <c r="A206" s="4" t="s">
        <v>98</v>
      </c>
      <c r="B206" s="5">
        <v>8.904223818874E12</v>
      </c>
      <c r="C206" s="6">
        <f>VLOOKUP(B206,'SKU Master (X)'!$A$1:$B$66,2,FALSE)</f>
        <v>100</v>
      </c>
      <c r="D206" s="4" t="s">
        <v>7</v>
      </c>
      <c r="E206" s="6">
        <f t="shared" si="1"/>
        <v>100</v>
      </c>
    </row>
    <row r="207" ht="15.75" customHeight="1">
      <c r="A207" s="4" t="s">
        <v>97</v>
      </c>
      <c r="B207" s="5">
        <v>8.904223818706E12</v>
      </c>
      <c r="C207" s="6">
        <f>VLOOKUP(B207,'SKU Master (X)'!$A$1:$B$66,2,FALSE)</f>
        <v>127</v>
      </c>
      <c r="D207" s="4" t="s">
        <v>7</v>
      </c>
      <c r="E207" s="6">
        <f t="shared" si="1"/>
        <v>127</v>
      </c>
    </row>
    <row r="208" ht="15.75" customHeight="1">
      <c r="A208" s="4" t="s">
        <v>97</v>
      </c>
      <c r="B208" s="5">
        <v>8.904223818942E12</v>
      </c>
      <c r="C208" s="6">
        <f>VLOOKUP(B208,'SKU Master (X)'!$A$1:$B$66,2,FALSE)</f>
        <v>133</v>
      </c>
      <c r="D208" s="4" t="s">
        <v>7</v>
      </c>
      <c r="E208" s="6">
        <f t="shared" si="1"/>
        <v>133</v>
      </c>
    </row>
    <row r="209" ht="15.75" customHeight="1">
      <c r="A209" s="4" t="s">
        <v>97</v>
      </c>
      <c r="B209" s="5">
        <v>8.90422381885E12</v>
      </c>
      <c r="C209" s="6">
        <f>VLOOKUP(B209,'SKU Master (X)'!$A$1:$B$66,2,FALSE)</f>
        <v>240</v>
      </c>
      <c r="D209" s="4" t="s">
        <v>7</v>
      </c>
      <c r="E209" s="6">
        <f t="shared" si="1"/>
        <v>240</v>
      </c>
    </row>
    <row r="210" ht="15.75" customHeight="1">
      <c r="A210" s="4" t="s">
        <v>95</v>
      </c>
      <c r="B210" s="5">
        <v>8.904223818614E12</v>
      </c>
      <c r="C210" s="6">
        <f>VLOOKUP(B210,'SKU Master (X)'!$A$1:$B$66,2,FALSE)</f>
        <v>65</v>
      </c>
      <c r="D210" s="4" t="s">
        <v>7</v>
      </c>
      <c r="E210" s="6">
        <f t="shared" si="1"/>
        <v>65</v>
      </c>
    </row>
    <row r="211" ht="15.75" customHeight="1">
      <c r="A211" s="4" t="s">
        <v>95</v>
      </c>
      <c r="B211" s="5">
        <v>8.904223815866E12</v>
      </c>
      <c r="C211" s="6">
        <f>VLOOKUP(B211,'SKU Master (X)'!$A$1:$B$66,2,FALSE)</f>
        <v>113</v>
      </c>
      <c r="D211" s="4" t="s">
        <v>7</v>
      </c>
      <c r="E211" s="6">
        <f t="shared" si="1"/>
        <v>113</v>
      </c>
    </row>
    <row r="212" ht="15.75" customHeight="1">
      <c r="A212" s="4" t="s">
        <v>95</v>
      </c>
      <c r="B212" s="5">
        <v>8.904223815859E12</v>
      </c>
      <c r="C212" s="6">
        <f>VLOOKUP(B212,'SKU Master (X)'!$A$1:$B$66,2,FALSE)</f>
        <v>165</v>
      </c>
      <c r="D212" s="4" t="s">
        <v>7</v>
      </c>
      <c r="E212" s="6">
        <f t="shared" si="1"/>
        <v>165</v>
      </c>
    </row>
    <row r="213" ht="15.75" customHeight="1">
      <c r="A213" s="4" t="s">
        <v>95</v>
      </c>
      <c r="B213" s="5">
        <v>8.904223817334E12</v>
      </c>
      <c r="C213" s="6">
        <f>VLOOKUP(B213,'SKU Master (X)'!$A$1:$B$66,2,FALSE)</f>
        <v>170</v>
      </c>
      <c r="D213" s="4" t="s">
        <v>7</v>
      </c>
      <c r="E213" s="6">
        <f t="shared" si="1"/>
        <v>170</v>
      </c>
    </row>
    <row r="214" ht="15.75" customHeight="1">
      <c r="A214" s="4" t="s">
        <v>95</v>
      </c>
      <c r="B214" s="7" t="s">
        <v>139</v>
      </c>
      <c r="C214" s="6">
        <f>VLOOKUP(B214,'SKU Master (X)'!$A$1:$B$66,2,FALSE)</f>
        <v>500</v>
      </c>
      <c r="D214" s="4" t="s">
        <v>7</v>
      </c>
      <c r="E214" s="6">
        <f t="shared" si="1"/>
        <v>500</v>
      </c>
    </row>
    <row r="215" ht="15.75" customHeight="1">
      <c r="A215" s="4" t="s">
        <v>95</v>
      </c>
      <c r="B215" s="5">
        <v>8.904223819369E12</v>
      </c>
      <c r="C215" s="6">
        <f>VLOOKUP(B215,'SKU Master (X)'!$A$1:$B$66,2,FALSE)</f>
        <v>170</v>
      </c>
      <c r="D215" s="4" t="s">
        <v>7</v>
      </c>
      <c r="E215" s="6">
        <f t="shared" si="1"/>
        <v>170</v>
      </c>
    </row>
    <row r="216" ht="15.75" customHeight="1">
      <c r="A216" s="4" t="s">
        <v>94</v>
      </c>
      <c r="B216" s="5">
        <v>8.904223818706E12</v>
      </c>
      <c r="C216" s="6">
        <f>VLOOKUP(B216,'SKU Master (X)'!$A$1:$B$66,2,FALSE)</f>
        <v>127</v>
      </c>
      <c r="D216" s="4" t="s">
        <v>7</v>
      </c>
      <c r="E216" s="6">
        <f t="shared" si="1"/>
        <v>127</v>
      </c>
    </row>
    <row r="217" ht="15.75" customHeight="1">
      <c r="A217" s="4" t="s">
        <v>94</v>
      </c>
      <c r="B217" s="5">
        <v>8.904223818942E12</v>
      </c>
      <c r="C217" s="6">
        <f>VLOOKUP(B217,'SKU Master (X)'!$A$1:$B$66,2,FALSE)</f>
        <v>133</v>
      </c>
      <c r="D217" s="4" t="s">
        <v>7</v>
      </c>
      <c r="E217" s="6">
        <f t="shared" si="1"/>
        <v>133</v>
      </c>
    </row>
    <row r="218" ht="15.75" customHeight="1">
      <c r="A218" s="4" t="s">
        <v>94</v>
      </c>
      <c r="B218" s="5">
        <v>8.90422381885E12</v>
      </c>
      <c r="C218" s="6">
        <f>VLOOKUP(B218,'SKU Master (X)'!$A$1:$B$66,2,FALSE)</f>
        <v>240</v>
      </c>
      <c r="D218" s="4" t="s">
        <v>7</v>
      </c>
      <c r="E218" s="6">
        <f t="shared" si="1"/>
        <v>240</v>
      </c>
    </row>
    <row r="219" ht="15.75" customHeight="1">
      <c r="A219" s="4" t="s">
        <v>93</v>
      </c>
      <c r="B219" s="5">
        <v>8.904223819468E12</v>
      </c>
      <c r="C219" s="6">
        <f>VLOOKUP(B219,'SKU Master (X)'!$A$1:$B$66,2,FALSE)</f>
        <v>240</v>
      </c>
      <c r="D219" s="4" t="s">
        <v>15</v>
      </c>
      <c r="E219" s="6">
        <f t="shared" si="1"/>
        <v>480</v>
      </c>
    </row>
    <row r="220" ht="15.75" customHeight="1">
      <c r="A220" s="4" t="s">
        <v>93</v>
      </c>
      <c r="B220" s="5">
        <v>8.904223818706E12</v>
      </c>
      <c r="C220" s="6">
        <f>VLOOKUP(B220,'SKU Master (X)'!$A$1:$B$66,2,FALSE)</f>
        <v>127</v>
      </c>
      <c r="D220" s="4" t="s">
        <v>15</v>
      </c>
      <c r="E220" s="6">
        <f t="shared" si="1"/>
        <v>254</v>
      </c>
    </row>
    <row r="221" ht="15.75" customHeight="1">
      <c r="A221" s="4" t="s">
        <v>91</v>
      </c>
      <c r="B221" s="5">
        <v>8.904223818706E12</v>
      </c>
      <c r="C221" s="6">
        <f>VLOOKUP(B221,'SKU Master (X)'!$A$1:$B$66,2,FALSE)</f>
        <v>127</v>
      </c>
      <c r="D221" s="4" t="s">
        <v>7</v>
      </c>
      <c r="E221" s="6">
        <f t="shared" si="1"/>
        <v>127</v>
      </c>
    </row>
    <row r="222" ht="15.75" customHeight="1">
      <c r="A222" s="4" t="s">
        <v>91</v>
      </c>
      <c r="B222" s="5">
        <v>8.90422381885E12</v>
      </c>
      <c r="C222" s="6">
        <f>VLOOKUP(B222,'SKU Master (X)'!$A$1:$B$66,2,FALSE)</f>
        <v>240</v>
      </c>
      <c r="D222" s="4" t="s">
        <v>7</v>
      </c>
      <c r="E222" s="6">
        <f t="shared" si="1"/>
        <v>240</v>
      </c>
    </row>
    <row r="223" ht="15.75" customHeight="1">
      <c r="A223" s="4" t="s">
        <v>91</v>
      </c>
      <c r="B223" s="5">
        <v>8.904223819468E12</v>
      </c>
      <c r="C223" s="6">
        <f>VLOOKUP(B223,'SKU Master (X)'!$A$1:$B$66,2,FALSE)</f>
        <v>240</v>
      </c>
      <c r="D223" s="4" t="s">
        <v>7</v>
      </c>
      <c r="E223" s="6">
        <f t="shared" si="1"/>
        <v>240</v>
      </c>
    </row>
    <row r="224" ht="15.75" customHeight="1">
      <c r="A224" s="4" t="s">
        <v>90</v>
      </c>
      <c r="B224" s="5">
        <v>8.904223818706E12</v>
      </c>
      <c r="C224" s="6">
        <f>VLOOKUP(B224,'SKU Master (X)'!$A$1:$B$66,2,FALSE)</f>
        <v>127</v>
      </c>
      <c r="D224" s="4" t="s">
        <v>7</v>
      </c>
      <c r="E224" s="6">
        <f t="shared" si="1"/>
        <v>127</v>
      </c>
    </row>
    <row r="225" ht="15.75" customHeight="1">
      <c r="A225" s="4" t="s">
        <v>90</v>
      </c>
      <c r="B225" s="5">
        <v>8.904223818942E12</v>
      </c>
      <c r="C225" s="6">
        <f>VLOOKUP(B225,'SKU Master (X)'!$A$1:$B$66,2,FALSE)</f>
        <v>133</v>
      </c>
      <c r="D225" s="4" t="s">
        <v>7</v>
      </c>
      <c r="E225" s="6">
        <f t="shared" si="1"/>
        <v>133</v>
      </c>
    </row>
    <row r="226" ht="15.75" customHeight="1">
      <c r="A226" s="4" t="s">
        <v>90</v>
      </c>
      <c r="B226" s="5">
        <v>8.90422381885E12</v>
      </c>
      <c r="C226" s="6">
        <f>VLOOKUP(B226,'SKU Master (X)'!$A$1:$B$66,2,FALSE)</f>
        <v>240</v>
      </c>
      <c r="D226" s="4" t="s">
        <v>7</v>
      </c>
      <c r="E226" s="6">
        <f t="shared" si="1"/>
        <v>240</v>
      </c>
    </row>
    <row r="227" ht="15.75" customHeight="1">
      <c r="A227" s="4" t="s">
        <v>89</v>
      </c>
      <c r="B227" s="5">
        <v>8.904223819161E12</v>
      </c>
      <c r="C227" s="6">
        <f>VLOOKUP(B227,'SKU Master (X)'!$A$1:$B$66,2,FALSE)</f>
        <v>115</v>
      </c>
      <c r="D227" s="4" t="s">
        <v>7</v>
      </c>
      <c r="E227" s="6">
        <f t="shared" si="1"/>
        <v>115</v>
      </c>
    </row>
    <row r="228" ht="15.75" customHeight="1">
      <c r="A228" s="4" t="s">
        <v>89</v>
      </c>
      <c r="B228" s="5">
        <v>8.90422381926E12</v>
      </c>
      <c r="C228" s="6">
        <f>VLOOKUP(B228,'SKU Master (X)'!$A$1:$B$66,2,FALSE)</f>
        <v>130</v>
      </c>
      <c r="D228" s="4" t="s">
        <v>7</v>
      </c>
      <c r="E228" s="6">
        <f t="shared" si="1"/>
        <v>130</v>
      </c>
    </row>
    <row r="229" ht="15.75" customHeight="1">
      <c r="A229" s="4" t="s">
        <v>88</v>
      </c>
      <c r="B229" s="5">
        <v>8.904223818683E12</v>
      </c>
      <c r="C229" s="6">
        <f>VLOOKUP(B229,'SKU Master (X)'!$A$1:$B$66,2,FALSE)</f>
        <v>121</v>
      </c>
      <c r="D229" s="4" t="s">
        <v>7</v>
      </c>
      <c r="E229" s="6">
        <f t="shared" si="1"/>
        <v>121</v>
      </c>
    </row>
    <row r="230" ht="15.75" customHeight="1">
      <c r="A230" s="4" t="s">
        <v>88</v>
      </c>
      <c r="B230" s="5">
        <v>8.904223819468E12</v>
      </c>
      <c r="C230" s="6">
        <f>VLOOKUP(B230,'SKU Master (X)'!$A$1:$B$66,2,FALSE)</f>
        <v>240</v>
      </c>
      <c r="D230" s="4" t="s">
        <v>7</v>
      </c>
      <c r="E230" s="6">
        <f t="shared" si="1"/>
        <v>240</v>
      </c>
    </row>
    <row r="231" ht="15.75" customHeight="1">
      <c r="A231" s="4" t="s">
        <v>88</v>
      </c>
      <c r="B231" s="5">
        <v>8.90422381885E12</v>
      </c>
      <c r="C231" s="6">
        <f>VLOOKUP(B231,'SKU Master (X)'!$A$1:$B$66,2,FALSE)</f>
        <v>240</v>
      </c>
      <c r="D231" s="4" t="s">
        <v>7</v>
      </c>
      <c r="E231" s="6">
        <f t="shared" si="1"/>
        <v>240</v>
      </c>
    </row>
    <row r="232" ht="15.75" customHeight="1">
      <c r="A232" s="4" t="s">
        <v>87</v>
      </c>
      <c r="B232" s="5">
        <v>8.904223818706E12</v>
      </c>
      <c r="C232" s="6">
        <f>VLOOKUP(B232,'SKU Master (X)'!$A$1:$B$66,2,FALSE)</f>
        <v>127</v>
      </c>
      <c r="D232" s="4" t="s">
        <v>7</v>
      </c>
      <c r="E232" s="6">
        <f t="shared" si="1"/>
        <v>127</v>
      </c>
    </row>
    <row r="233" ht="15.75" customHeight="1">
      <c r="A233" s="4" t="s">
        <v>87</v>
      </c>
      <c r="B233" s="5">
        <v>8.90422381885E12</v>
      </c>
      <c r="C233" s="6">
        <f>VLOOKUP(B233,'SKU Master (X)'!$A$1:$B$66,2,FALSE)</f>
        <v>240</v>
      </c>
      <c r="D233" s="4" t="s">
        <v>7</v>
      </c>
      <c r="E233" s="6">
        <f t="shared" si="1"/>
        <v>240</v>
      </c>
    </row>
    <row r="234" ht="15.75" customHeight="1">
      <c r="A234" s="4" t="s">
        <v>87</v>
      </c>
      <c r="B234" s="5">
        <v>8.904223819468E12</v>
      </c>
      <c r="C234" s="6">
        <f>VLOOKUP(B234,'SKU Master (X)'!$A$1:$B$66,2,FALSE)</f>
        <v>240</v>
      </c>
      <c r="D234" s="4" t="s">
        <v>7</v>
      </c>
      <c r="E234" s="6">
        <f t="shared" si="1"/>
        <v>240</v>
      </c>
    </row>
    <row r="235" ht="15.75" customHeight="1">
      <c r="A235" s="4" t="s">
        <v>86</v>
      </c>
      <c r="B235" s="5">
        <v>8.904223815859E12</v>
      </c>
      <c r="C235" s="6">
        <f>VLOOKUP(B235,'SKU Master (X)'!$A$1:$B$66,2,FALSE)</f>
        <v>165</v>
      </c>
      <c r="D235" s="4" t="s">
        <v>7</v>
      </c>
      <c r="E235" s="6">
        <f t="shared" si="1"/>
        <v>165</v>
      </c>
    </row>
    <row r="236" ht="15.75" customHeight="1">
      <c r="A236" s="4" t="s">
        <v>86</v>
      </c>
      <c r="B236" s="5">
        <v>8.904223817273E12</v>
      </c>
      <c r="C236" s="6">
        <f>VLOOKUP(B236,'SKU Master (X)'!$A$1:$B$66,2,FALSE)</f>
        <v>65</v>
      </c>
      <c r="D236" s="4" t="s">
        <v>7</v>
      </c>
      <c r="E236" s="6">
        <f t="shared" si="1"/>
        <v>65</v>
      </c>
    </row>
    <row r="237" ht="15.75" customHeight="1">
      <c r="A237" s="4" t="s">
        <v>86</v>
      </c>
      <c r="B237" s="5">
        <v>8.904223818751E12</v>
      </c>
      <c r="C237" s="6">
        <f>VLOOKUP(B237,'SKU Master (X)'!$A$1:$B$66,2,FALSE)</f>
        <v>113</v>
      </c>
      <c r="D237" s="4" t="s">
        <v>7</v>
      </c>
      <c r="E237" s="6">
        <f t="shared" si="1"/>
        <v>113</v>
      </c>
    </row>
    <row r="238" ht="15.75" customHeight="1">
      <c r="A238" s="4" t="s">
        <v>85</v>
      </c>
      <c r="B238" s="5">
        <v>8.904223819291E12</v>
      </c>
      <c r="C238" s="6">
        <f>VLOOKUP(B238,'SKU Master (X)'!$A$1:$B$66,2,FALSE)</f>
        <v>112</v>
      </c>
      <c r="D238" s="4" t="s">
        <v>15</v>
      </c>
      <c r="E238" s="6">
        <f t="shared" si="1"/>
        <v>224</v>
      </c>
    </row>
    <row r="239" ht="15.75" customHeight="1">
      <c r="A239" s="4" t="s">
        <v>85</v>
      </c>
      <c r="B239" s="5">
        <v>8.904223819031E12</v>
      </c>
      <c r="C239" s="6">
        <f>VLOOKUP(B239,'SKU Master (X)'!$A$1:$B$66,2,FALSE)</f>
        <v>112</v>
      </c>
      <c r="D239" s="4" t="s">
        <v>15</v>
      </c>
      <c r="E239" s="6">
        <f t="shared" si="1"/>
        <v>224</v>
      </c>
    </row>
    <row r="240" ht="15.75" customHeight="1">
      <c r="A240" s="4" t="s">
        <v>85</v>
      </c>
      <c r="B240" s="5">
        <v>8.904223819024E12</v>
      </c>
      <c r="C240" s="6">
        <f>VLOOKUP(B240,'SKU Master (X)'!$A$1:$B$66,2,FALSE)</f>
        <v>112</v>
      </c>
      <c r="D240" s="4" t="s">
        <v>15</v>
      </c>
      <c r="E240" s="6">
        <f t="shared" si="1"/>
        <v>224</v>
      </c>
    </row>
    <row r="241" ht="15.75" customHeight="1">
      <c r="A241" s="4" t="s">
        <v>85</v>
      </c>
      <c r="B241" s="5">
        <v>8.904223819161E12</v>
      </c>
      <c r="C241" s="6">
        <f>VLOOKUP(B241,'SKU Master (X)'!$A$1:$B$66,2,FALSE)</f>
        <v>115</v>
      </c>
      <c r="D241" s="4" t="s">
        <v>7</v>
      </c>
      <c r="E241" s="6">
        <f t="shared" si="1"/>
        <v>115</v>
      </c>
    </row>
    <row r="242" ht="15.75" customHeight="1">
      <c r="A242" s="4" t="s">
        <v>85</v>
      </c>
      <c r="B242" s="5">
        <v>8.90422381926E12</v>
      </c>
      <c r="C242" s="6">
        <f>VLOOKUP(B242,'SKU Master (X)'!$A$1:$B$66,2,FALSE)</f>
        <v>130</v>
      </c>
      <c r="D242" s="4" t="s">
        <v>7</v>
      </c>
      <c r="E242" s="6">
        <f t="shared" si="1"/>
        <v>130</v>
      </c>
    </row>
    <row r="243" ht="15.75" customHeight="1">
      <c r="A243" s="4" t="s">
        <v>85</v>
      </c>
      <c r="B243" s="5">
        <v>8.904223819468E12</v>
      </c>
      <c r="C243" s="6">
        <f>VLOOKUP(B243,'SKU Master (X)'!$A$1:$B$66,2,FALSE)</f>
        <v>240</v>
      </c>
      <c r="D243" s="4" t="s">
        <v>7</v>
      </c>
      <c r="E243" s="6">
        <f t="shared" si="1"/>
        <v>240</v>
      </c>
    </row>
    <row r="244" ht="15.75" customHeight="1">
      <c r="A244" s="4" t="s">
        <v>84</v>
      </c>
      <c r="B244" s="5">
        <v>8.904223818706E12</v>
      </c>
      <c r="C244" s="6">
        <f>VLOOKUP(B244,'SKU Master (X)'!$A$1:$B$66,2,FALSE)</f>
        <v>127</v>
      </c>
      <c r="D244" s="4" t="s">
        <v>7</v>
      </c>
      <c r="E244" s="6">
        <f t="shared" si="1"/>
        <v>127</v>
      </c>
    </row>
    <row r="245" ht="15.75" customHeight="1">
      <c r="A245" s="4" t="s">
        <v>84</v>
      </c>
      <c r="B245" s="5">
        <v>8.904223818942E12</v>
      </c>
      <c r="C245" s="6">
        <f>VLOOKUP(B245,'SKU Master (X)'!$A$1:$B$66,2,FALSE)</f>
        <v>133</v>
      </c>
      <c r="D245" s="4" t="s">
        <v>7</v>
      </c>
      <c r="E245" s="6">
        <f t="shared" si="1"/>
        <v>133</v>
      </c>
    </row>
    <row r="246" ht="15.75" customHeight="1">
      <c r="A246" s="4" t="s">
        <v>84</v>
      </c>
      <c r="B246" s="5">
        <v>8.90422381885E12</v>
      </c>
      <c r="C246" s="6">
        <f>VLOOKUP(B246,'SKU Master (X)'!$A$1:$B$66,2,FALSE)</f>
        <v>240</v>
      </c>
      <c r="D246" s="4" t="s">
        <v>7</v>
      </c>
      <c r="E246" s="6">
        <f t="shared" si="1"/>
        <v>240</v>
      </c>
    </row>
    <row r="247" ht="15.75" customHeight="1">
      <c r="A247" s="4" t="s">
        <v>82</v>
      </c>
      <c r="B247" s="5">
        <v>8.904223819468E12</v>
      </c>
      <c r="C247" s="6">
        <f>VLOOKUP(B247,'SKU Master (X)'!$A$1:$B$66,2,FALSE)</f>
        <v>240</v>
      </c>
      <c r="D247" s="4" t="s">
        <v>7</v>
      </c>
      <c r="E247" s="6">
        <f t="shared" si="1"/>
        <v>240</v>
      </c>
    </row>
    <row r="248" ht="15.75" customHeight="1">
      <c r="A248" s="4" t="s">
        <v>82</v>
      </c>
      <c r="B248" s="5">
        <v>8.904223818669E12</v>
      </c>
      <c r="C248" s="6">
        <f>VLOOKUP(B248,'SKU Master (X)'!$A$1:$B$66,2,FALSE)</f>
        <v>240</v>
      </c>
      <c r="D248" s="4" t="s">
        <v>7</v>
      </c>
      <c r="E248" s="6">
        <f t="shared" si="1"/>
        <v>240</v>
      </c>
    </row>
    <row r="249" ht="15.75" customHeight="1">
      <c r="A249" s="4" t="s">
        <v>82</v>
      </c>
      <c r="B249" s="5">
        <v>8.904223818683E12</v>
      </c>
      <c r="C249" s="6">
        <f>VLOOKUP(B249,'SKU Master (X)'!$A$1:$B$66,2,FALSE)</f>
        <v>121</v>
      </c>
      <c r="D249" s="4" t="s">
        <v>7</v>
      </c>
      <c r="E249" s="6">
        <f t="shared" si="1"/>
        <v>121</v>
      </c>
    </row>
    <row r="250" ht="15.75" customHeight="1">
      <c r="A250" s="4" t="s">
        <v>82</v>
      </c>
      <c r="B250" s="5">
        <v>8.904223818713E12</v>
      </c>
      <c r="C250" s="6">
        <f>VLOOKUP(B250,'SKU Master (X)'!$A$1:$B$66,2,FALSE)</f>
        <v>120</v>
      </c>
      <c r="D250" s="4" t="s">
        <v>7</v>
      </c>
      <c r="E250" s="6">
        <f t="shared" si="1"/>
        <v>120</v>
      </c>
    </row>
    <row r="251" ht="15.75" customHeight="1">
      <c r="A251" s="4" t="s">
        <v>81</v>
      </c>
      <c r="B251" s="5">
        <v>8.904223819321E12</v>
      </c>
      <c r="C251" s="6">
        <f>VLOOKUP(B251,'SKU Master (X)'!$A$1:$B$66,2,FALSE)</f>
        <v>600</v>
      </c>
      <c r="D251" s="4" t="s">
        <v>7</v>
      </c>
      <c r="E251" s="6">
        <f t="shared" si="1"/>
        <v>600</v>
      </c>
    </row>
    <row r="252" ht="15.75" customHeight="1">
      <c r="A252" s="4" t="s">
        <v>81</v>
      </c>
      <c r="B252" s="5">
        <v>8.90422381843E12</v>
      </c>
      <c r="C252" s="6">
        <f>VLOOKUP(B252,'SKU Master (X)'!$A$1:$B$66,2,FALSE)</f>
        <v>165</v>
      </c>
      <c r="D252" s="4" t="s">
        <v>7</v>
      </c>
      <c r="E252" s="6">
        <f t="shared" si="1"/>
        <v>165</v>
      </c>
    </row>
    <row r="253" ht="15.75" customHeight="1">
      <c r="A253" s="4" t="s">
        <v>79</v>
      </c>
      <c r="B253" s="5">
        <v>8.904223818669E12</v>
      </c>
      <c r="C253" s="6">
        <f>VLOOKUP(B253,'SKU Master (X)'!$A$1:$B$66,2,FALSE)</f>
        <v>240</v>
      </c>
      <c r="D253" s="4" t="s">
        <v>7</v>
      </c>
      <c r="E253" s="6">
        <f t="shared" si="1"/>
        <v>240</v>
      </c>
    </row>
    <row r="254" ht="15.75" customHeight="1">
      <c r="A254" s="4" t="s">
        <v>79</v>
      </c>
      <c r="B254" s="5">
        <v>8.904223819147E12</v>
      </c>
      <c r="C254" s="6">
        <f>VLOOKUP(B254,'SKU Master (X)'!$A$1:$B$66,2,FALSE)</f>
        <v>240</v>
      </c>
      <c r="D254" s="4" t="s">
        <v>7</v>
      </c>
      <c r="E254" s="6">
        <f t="shared" si="1"/>
        <v>240</v>
      </c>
    </row>
    <row r="255" ht="15.75" customHeight="1">
      <c r="A255" s="4" t="s">
        <v>79</v>
      </c>
      <c r="B255" s="5">
        <v>8.90422381885E12</v>
      </c>
      <c r="C255" s="6">
        <f>VLOOKUP(B255,'SKU Master (X)'!$A$1:$B$66,2,FALSE)</f>
        <v>240</v>
      </c>
      <c r="D255" s="4" t="s">
        <v>7</v>
      </c>
      <c r="E255" s="6">
        <f t="shared" si="1"/>
        <v>240</v>
      </c>
    </row>
    <row r="256" ht="15.75" customHeight="1">
      <c r="A256" s="4" t="s">
        <v>79</v>
      </c>
      <c r="B256" s="5">
        <v>8.904223819505E12</v>
      </c>
      <c r="C256" s="6">
        <f>VLOOKUP(B256,'SKU Master (X)'!$A$1:$B$66,2,FALSE)</f>
        <v>210</v>
      </c>
      <c r="D256" s="4" t="s">
        <v>7</v>
      </c>
      <c r="E256" s="6">
        <f t="shared" si="1"/>
        <v>210</v>
      </c>
    </row>
    <row r="257" ht="15.75" customHeight="1">
      <c r="A257" s="4" t="s">
        <v>78</v>
      </c>
      <c r="B257" s="5">
        <v>8.904223818706E12</v>
      </c>
      <c r="C257" s="6">
        <f>VLOOKUP(B257,'SKU Master (X)'!$A$1:$B$66,2,FALSE)</f>
        <v>127</v>
      </c>
      <c r="D257" s="4" t="s">
        <v>7</v>
      </c>
      <c r="E257" s="6">
        <f t="shared" si="1"/>
        <v>127</v>
      </c>
    </row>
    <row r="258" ht="15.75" customHeight="1">
      <c r="A258" s="4" t="s">
        <v>78</v>
      </c>
      <c r="B258" s="5">
        <v>8.904223818942E12</v>
      </c>
      <c r="C258" s="6">
        <f>VLOOKUP(B258,'SKU Master (X)'!$A$1:$B$66,2,FALSE)</f>
        <v>133</v>
      </c>
      <c r="D258" s="4" t="s">
        <v>7</v>
      </c>
      <c r="E258" s="6">
        <f t="shared" si="1"/>
        <v>133</v>
      </c>
    </row>
    <row r="259" ht="15.75" customHeight="1">
      <c r="A259" s="4" t="s">
        <v>78</v>
      </c>
      <c r="B259" s="5">
        <v>8.90422381885E12</v>
      </c>
      <c r="C259" s="6">
        <f>VLOOKUP(B259,'SKU Master (X)'!$A$1:$B$66,2,FALSE)</f>
        <v>240</v>
      </c>
      <c r="D259" s="4" t="s">
        <v>7</v>
      </c>
      <c r="E259" s="6">
        <f t="shared" si="1"/>
        <v>240</v>
      </c>
    </row>
    <row r="260" ht="15.75" customHeight="1">
      <c r="A260" s="4" t="s">
        <v>78</v>
      </c>
      <c r="B260" s="5">
        <v>8.904223819246E12</v>
      </c>
      <c r="C260" s="6">
        <f>VLOOKUP(B260,'SKU Master (X)'!$A$1:$B$66,2,FALSE)</f>
        <v>290</v>
      </c>
      <c r="D260" s="4" t="s">
        <v>15</v>
      </c>
      <c r="E260" s="6">
        <f t="shared" si="1"/>
        <v>580</v>
      </c>
    </row>
    <row r="261" ht="15.75" customHeight="1">
      <c r="A261" s="4" t="s">
        <v>77</v>
      </c>
      <c r="B261" s="5">
        <v>8.904223818706E12</v>
      </c>
      <c r="C261" s="6">
        <f>VLOOKUP(B261,'SKU Master (X)'!$A$1:$B$66,2,FALSE)</f>
        <v>127</v>
      </c>
      <c r="D261" s="4" t="s">
        <v>7</v>
      </c>
      <c r="E261" s="6">
        <f t="shared" si="1"/>
        <v>127</v>
      </c>
    </row>
    <row r="262" ht="15.75" customHeight="1">
      <c r="A262" s="4" t="s">
        <v>77</v>
      </c>
      <c r="B262" s="5">
        <v>8.90422381885E12</v>
      </c>
      <c r="C262" s="6">
        <f>VLOOKUP(B262,'SKU Master (X)'!$A$1:$B$66,2,FALSE)</f>
        <v>240</v>
      </c>
      <c r="D262" s="4" t="s">
        <v>7</v>
      </c>
      <c r="E262" s="6">
        <f t="shared" si="1"/>
        <v>240</v>
      </c>
    </row>
    <row r="263" ht="15.75" customHeight="1">
      <c r="A263" s="4" t="s">
        <v>77</v>
      </c>
      <c r="B263" s="5">
        <v>8.904223819468E12</v>
      </c>
      <c r="C263" s="6">
        <f>VLOOKUP(B263,'SKU Master (X)'!$A$1:$B$66,2,FALSE)</f>
        <v>240</v>
      </c>
      <c r="D263" s="4" t="s">
        <v>7</v>
      </c>
      <c r="E263" s="6">
        <f t="shared" si="1"/>
        <v>240</v>
      </c>
    </row>
    <row r="264" ht="15.75" customHeight="1">
      <c r="A264" s="4" t="s">
        <v>75</v>
      </c>
      <c r="B264" s="5">
        <v>8.904223819468E12</v>
      </c>
      <c r="C264" s="6">
        <f>VLOOKUP(B264,'SKU Master (X)'!$A$1:$B$66,2,FALSE)</f>
        <v>240</v>
      </c>
      <c r="D264" s="4" t="s">
        <v>7</v>
      </c>
      <c r="E264" s="6">
        <f t="shared" si="1"/>
        <v>240</v>
      </c>
    </row>
    <row r="265" ht="15.75" customHeight="1">
      <c r="A265" s="4" t="s">
        <v>74</v>
      </c>
      <c r="B265" s="5">
        <v>8.904223818706E12</v>
      </c>
      <c r="C265" s="6">
        <f>VLOOKUP(B265,'SKU Master (X)'!$A$1:$B$66,2,FALSE)</f>
        <v>127</v>
      </c>
      <c r="D265" s="4" t="s">
        <v>7</v>
      </c>
      <c r="E265" s="6">
        <f t="shared" si="1"/>
        <v>127</v>
      </c>
    </row>
    <row r="266" ht="15.75" customHeight="1">
      <c r="A266" s="4" t="s">
        <v>74</v>
      </c>
      <c r="B266" s="5">
        <v>8.904223818942E12</v>
      </c>
      <c r="C266" s="6">
        <f>VLOOKUP(B266,'SKU Master (X)'!$A$1:$B$66,2,FALSE)</f>
        <v>133</v>
      </c>
      <c r="D266" s="4" t="s">
        <v>7</v>
      </c>
      <c r="E266" s="6">
        <f t="shared" si="1"/>
        <v>133</v>
      </c>
    </row>
    <row r="267" ht="15.75" customHeight="1">
      <c r="A267" s="4" t="s">
        <v>74</v>
      </c>
      <c r="B267" s="5">
        <v>8.90422381885E12</v>
      </c>
      <c r="C267" s="6">
        <f>VLOOKUP(B267,'SKU Master (X)'!$A$1:$B$66,2,FALSE)</f>
        <v>240</v>
      </c>
      <c r="D267" s="4" t="s">
        <v>7</v>
      </c>
      <c r="E267" s="6">
        <f t="shared" si="1"/>
        <v>240</v>
      </c>
    </row>
    <row r="268" ht="15.75" customHeight="1">
      <c r="A268" s="4" t="s">
        <v>73</v>
      </c>
      <c r="B268" s="5">
        <v>8.904223818706E12</v>
      </c>
      <c r="C268" s="6">
        <f>VLOOKUP(B268,'SKU Master (X)'!$A$1:$B$66,2,FALSE)</f>
        <v>127</v>
      </c>
      <c r="D268" s="4" t="s">
        <v>7</v>
      </c>
      <c r="E268" s="6">
        <f t="shared" si="1"/>
        <v>127</v>
      </c>
    </row>
    <row r="269" ht="15.75" customHeight="1">
      <c r="A269" s="4" t="s">
        <v>73</v>
      </c>
      <c r="B269" s="5">
        <v>8.90422381885E12</v>
      </c>
      <c r="C269" s="6">
        <f>VLOOKUP(B269,'SKU Master (X)'!$A$1:$B$66,2,FALSE)</f>
        <v>240</v>
      </c>
      <c r="D269" s="4" t="s">
        <v>7</v>
      </c>
      <c r="E269" s="6">
        <f t="shared" si="1"/>
        <v>240</v>
      </c>
    </row>
    <row r="270" ht="15.75" customHeight="1">
      <c r="A270" s="4" t="s">
        <v>73</v>
      </c>
      <c r="B270" s="5">
        <v>8.904223819468E12</v>
      </c>
      <c r="C270" s="6">
        <f>VLOOKUP(B270,'SKU Master (X)'!$A$1:$B$66,2,FALSE)</f>
        <v>240</v>
      </c>
      <c r="D270" s="4" t="s">
        <v>7</v>
      </c>
      <c r="E270" s="6">
        <f t="shared" si="1"/>
        <v>240</v>
      </c>
    </row>
    <row r="271" ht="15.75" customHeight="1">
      <c r="A271" s="4" t="s">
        <v>71</v>
      </c>
      <c r="B271" s="5">
        <v>8.904223818706E12</v>
      </c>
      <c r="C271" s="6">
        <f>VLOOKUP(B271,'SKU Master (X)'!$A$1:$B$66,2,FALSE)</f>
        <v>127</v>
      </c>
      <c r="D271" s="4" t="s">
        <v>7</v>
      </c>
      <c r="E271" s="6">
        <f t="shared" si="1"/>
        <v>127</v>
      </c>
    </row>
    <row r="272" ht="15.75" customHeight="1">
      <c r="A272" s="4" t="s">
        <v>71</v>
      </c>
      <c r="B272" s="5">
        <v>8.904223818942E12</v>
      </c>
      <c r="C272" s="6">
        <f>VLOOKUP(B272,'SKU Master (X)'!$A$1:$B$66,2,FALSE)</f>
        <v>133</v>
      </c>
      <c r="D272" s="4" t="s">
        <v>7</v>
      </c>
      <c r="E272" s="6">
        <f t="shared" si="1"/>
        <v>133</v>
      </c>
    </row>
    <row r="273" ht="15.75" customHeight="1">
      <c r="A273" s="4" t="s">
        <v>71</v>
      </c>
      <c r="B273" s="5">
        <v>8.90422381885E12</v>
      </c>
      <c r="C273" s="6">
        <f>VLOOKUP(B273,'SKU Master (X)'!$A$1:$B$66,2,FALSE)</f>
        <v>240</v>
      </c>
      <c r="D273" s="4" t="s">
        <v>7</v>
      </c>
      <c r="E273" s="6">
        <f t="shared" si="1"/>
        <v>240</v>
      </c>
    </row>
    <row r="274" ht="15.75" customHeight="1">
      <c r="A274" s="4" t="s">
        <v>69</v>
      </c>
      <c r="B274" s="5">
        <v>8.904223819147E12</v>
      </c>
      <c r="C274" s="6">
        <f>VLOOKUP(B274,'SKU Master (X)'!$A$1:$B$66,2,FALSE)</f>
        <v>240</v>
      </c>
      <c r="D274" s="4" t="s">
        <v>7</v>
      </c>
      <c r="E274" s="6">
        <f t="shared" si="1"/>
        <v>240</v>
      </c>
    </row>
    <row r="275" ht="15.75" customHeight="1">
      <c r="A275" s="4" t="s">
        <v>69</v>
      </c>
      <c r="B275" s="5">
        <v>8.904223819468E12</v>
      </c>
      <c r="C275" s="6">
        <f>VLOOKUP(B275,'SKU Master (X)'!$A$1:$B$66,2,FALSE)</f>
        <v>240</v>
      </c>
      <c r="D275" s="4" t="s">
        <v>7</v>
      </c>
      <c r="E275" s="6">
        <f t="shared" si="1"/>
        <v>240</v>
      </c>
    </row>
    <row r="276" ht="15.75" customHeight="1">
      <c r="A276" s="4" t="s">
        <v>69</v>
      </c>
      <c r="B276" s="5">
        <v>8.904223819277E12</v>
      </c>
      <c r="C276" s="6">
        <f>VLOOKUP(B276,'SKU Master (X)'!$A$1:$B$66,2,FALSE)</f>
        <v>350</v>
      </c>
      <c r="D276" s="4" t="s">
        <v>7</v>
      </c>
      <c r="E276" s="6">
        <f t="shared" si="1"/>
        <v>350</v>
      </c>
    </row>
    <row r="277" ht="15.75" customHeight="1">
      <c r="A277" s="4" t="s">
        <v>68</v>
      </c>
      <c r="B277" s="5">
        <v>8.90422381885E12</v>
      </c>
      <c r="C277" s="6">
        <f>VLOOKUP(B277,'SKU Master (X)'!$A$1:$B$66,2,FALSE)</f>
        <v>240</v>
      </c>
      <c r="D277" s="4" t="s">
        <v>15</v>
      </c>
      <c r="E277" s="6">
        <f t="shared" si="1"/>
        <v>480</v>
      </c>
    </row>
    <row r="278" ht="15.75" customHeight="1">
      <c r="A278" s="4" t="s">
        <v>68</v>
      </c>
      <c r="B278" s="5">
        <v>8.904223818713E12</v>
      </c>
      <c r="C278" s="6">
        <f>VLOOKUP(B278,'SKU Master (X)'!$A$1:$B$66,2,FALSE)</f>
        <v>120</v>
      </c>
      <c r="D278" s="4" t="s">
        <v>7</v>
      </c>
      <c r="E278" s="6">
        <f t="shared" si="1"/>
        <v>120</v>
      </c>
    </row>
    <row r="279" ht="15.75" customHeight="1">
      <c r="A279" s="4" t="s">
        <v>68</v>
      </c>
      <c r="B279" s="5">
        <v>8.904223819024E12</v>
      </c>
      <c r="C279" s="6">
        <f>VLOOKUP(B279,'SKU Master (X)'!$A$1:$B$66,2,FALSE)</f>
        <v>112</v>
      </c>
      <c r="D279" s="4" t="s">
        <v>20</v>
      </c>
      <c r="E279" s="6">
        <f t="shared" si="1"/>
        <v>448</v>
      </c>
    </row>
    <row r="280" ht="15.75" customHeight="1">
      <c r="A280" s="4" t="s">
        <v>66</v>
      </c>
      <c r="B280" s="5">
        <v>8.904223819031E12</v>
      </c>
      <c r="C280" s="6">
        <f>VLOOKUP(B280,'SKU Master (X)'!$A$1:$B$66,2,FALSE)</f>
        <v>112</v>
      </c>
      <c r="D280" s="4" t="s">
        <v>140</v>
      </c>
      <c r="E280" s="6">
        <f t="shared" si="1"/>
        <v>672</v>
      </c>
    </row>
    <row r="281" ht="15.75" customHeight="1">
      <c r="A281" s="4" t="s">
        <v>66</v>
      </c>
      <c r="B281" s="5">
        <v>8.904223819024E12</v>
      </c>
      <c r="C281" s="6">
        <f>VLOOKUP(B281,'SKU Master (X)'!$A$1:$B$66,2,FALSE)</f>
        <v>112</v>
      </c>
      <c r="D281" s="4" t="s">
        <v>140</v>
      </c>
      <c r="E281" s="6">
        <f t="shared" si="1"/>
        <v>672</v>
      </c>
    </row>
    <row r="282" ht="15.75" customHeight="1">
      <c r="A282" s="4" t="s">
        <v>66</v>
      </c>
      <c r="B282" s="5">
        <v>8.904223819291E12</v>
      </c>
      <c r="C282" s="6">
        <f>VLOOKUP(B282,'SKU Master (X)'!$A$1:$B$66,2,FALSE)</f>
        <v>112</v>
      </c>
      <c r="D282" s="4" t="s">
        <v>15</v>
      </c>
      <c r="E282" s="6">
        <f t="shared" si="1"/>
        <v>224</v>
      </c>
    </row>
    <row r="283" ht="15.75" customHeight="1">
      <c r="A283" s="4" t="s">
        <v>66</v>
      </c>
      <c r="B283" s="5">
        <v>8.904223819031E12</v>
      </c>
      <c r="C283" s="6">
        <f>VLOOKUP(B283,'SKU Master (X)'!$A$1:$B$66,2,FALSE)</f>
        <v>112</v>
      </c>
      <c r="D283" s="4" t="s">
        <v>15</v>
      </c>
      <c r="E283" s="6">
        <f t="shared" si="1"/>
        <v>224</v>
      </c>
    </row>
    <row r="284" ht="15.75" customHeight="1">
      <c r="A284" s="4" t="s">
        <v>66</v>
      </c>
      <c r="B284" s="5">
        <v>8.904223819024E12</v>
      </c>
      <c r="C284" s="6">
        <f>VLOOKUP(B284,'SKU Master (X)'!$A$1:$B$66,2,FALSE)</f>
        <v>112</v>
      </c>
      <c r="D284" s="4" t="s">
        <v>15</v>
      </c>
      <c r="E284" s="6">
        <f t="shared" si="1"/>
        <v>224</v>
      </c>
    </row>
    <row r="285" ht="15.75" customHeight="1">
      <c r="A285" s="4" t="s">
        <v>65</v>
      </c>
      <c r="B285" s="5">
        <v>8.904223818706E12</v>
      </c>
      <c r="C285" s="6">
        <f>VLOOKUP(B285,'SKU Master (X)'!$A$1:$B$66,2,FALSE)</f>
        <v>127</v>
      </c>
      <c r="D285" s="4" t="s">
        <v>7</v>
      </c>
      <c r="E285" s="6">
        <f t="shared" si="1"/>
        <v>127</v>
      </c>
    </row>
    <row r="286" ht="15.75" customHeight="1">
      <c r="A286" s="4" t="s">
        <v>65</v>
      </c>
      <c r="B286" s="5">
        <v>8.904223818942E12</v>
      </c>
      <c r="C286" s="6">
        <f>VLOOKUP(B286,'SKU Master (X)'!$A$1:$B$66,2,FALSE)</f>
        <v>133</v>
      </c>
      <c r="D286" s="4" t="s">
        <v>7</v>
      </c>
      <c r="E286" s="6">
        <f t="shared" si="1"/>
        <v>133</v>
      </c>
    </row>
    <row r="287" ht="15.75" customHeight="1">
      <c r="A287" s="4" t="s">
        <v>65</v>
      </c>
      <c r="B287" s="5">
        <v>8.90422381885E12</v>
      </c>
      <c r="C287" s="6">
        <f>VLOOKUP(B287,'SKU Master (X)'!$A$1:$B$66,2,FALSE)</f>
        <v>240</v>
      </c>
      <c r="D287" s="4" t="s">
        <v>7</v>
      </c>
      <c r="E287" s="6">
        <f t="shared" si="1"/>
        <v>240</v>
      </c>
    </row>
    <row r="288" ht="15.75" customHeight="1">
      <c r="A288" s="4" t="s">
        <v>64</v>
      </c>
      <c r="B288" s="5">
        <v>8.904223818997E12</v>
      </c>
      <c r="C288" s="6">
        <f>VLOOKUP(B288,'SKU Master (X)'!$A$1:$B$66,2,FALSE)</f>
        <v>490</v>
      </c>
      <c r="D288" s="4" t="s">
        <v>7</v>
      </c>
      <c r="E288" s="6">
        <f t="shared" si="1"/>
        <v>490</v>
      </c>
    </row>
    <row r="289" ht="15.75" customHeight="1">
      <c r="A289" s="4" t="s">
        <v>63</v>
      </c>
      <c r="B289" s="5">
        <v>8.904223818706E12</v>
      </c>
      <c r="C289" s="6">
        <f>VLOOKUP(B289,'SKU Master (X)'!$A$1:$B$66,2,FALSE)</f>
        <v>127</v>
      </c>
      <c r="D289" s="4" t="s">
        <v>7</v>
      </c>
      <c r="E289" s="6">
        <f t="shared" si="1"/>
        <v>127</v>
      </c>
    </row>
    <row r="290" ht="15.75" customHeight="1">
      <c r="A290" s="4" t="s">
        <v>63</v>
      </c>
      <c r="B290" s="5">
        <v>8.904223818942E12</v>
      </c>
      <c r="C290" s="6">
        <f>VLOOKUP(B290,'SKU Master (X)'!$A$1:$B$66,2,FALSE)</f>
        <v>133</v>
      </c>
      <c r="D290" s="4" t="s">
        <v>7</v>
      </c>
      <c r="E290" s="6">
        <f t="shared" si="1"/>
        <v>133</v>
      </c>
    </row>
    <row r="291" ht="15.75" customHeight="1">
      <c r="A291" s="4" t="s">
        <v>63</v>
      </c>
      <c r="B291" s="5">
        <v>8.90422381885E12</v>
      </c>
      <c r="C291" s="6">
        <f>VLOOKUP(B291,'SKU Master (X)'!$A$1:$B$66,2,FALSE)</f>
        <v>240</v>
      </c>
      <c r="D291" s="4" t="s">
        <v>7</v>
      </c>
      <c r="E291" s="6">
        <f t="shared" si="1"/>
        <v>240</v>
      </c>
    </row>
    <row r="292" ht="15.75" customHeight="1">
      <c r="A292" s="4" t="s">
        <v>62</v>
      </c>
      <c r="B292" s="5">
        <v>8.904223818706E12</v>
      </c>
      <c r="C292" s="6">
        <f>VLOOKUP(B292,'SKU Master (X)'!$A$1:$B$66,2,FALSE)</f>
        <v>127</v>
      </c>
      <c r="D292" s="4" t="s">
        <v>7</v>
      </c>
      <c r="E292" s="6">
        <f t="shared" si="1"/>
        <v>127</v>
      </c>
    </row>
    <row r="293" ht="15.75" customHeight="1">
      <c r="A293" s="4" t="s">
        <v>62</v>
      </c>
      <c r="B293" s="5">
        <v>8.90422381885E12</v>
      </c>
      <c r="C293" s="6">
        <f>VLOOKUP(B293,'SKU Master (X)'!$A$1:$B$66,2,FALSE)</f>
        <v>240</v>
      </c>
      <c r="D293" s="4" t="s">
        <v>7</v>
      </c>
      <c r="E293" s="6">
        <f t="shared" si="1"/>
        <v>240</v>
      </c>
    </row>
    <row r="294" ht="15.75" customHeight="1">
      <c r="A294" s="4" t="s">
        <v>62</v>
      </c>
      <c r="B294" s="5">
        <v>8.904223819468E12</v>
      </c>
      <c r="C294" s="6">
        <f>VLOOKUP(B294,'SKU Master (X)'!$A$1:$B$66,2,FALSE)</f>
        <v>240</v>
      </c>
      <c r="D294" s="4" t="s">
        <v>7</v>
      </c>
      <c r="E294" s="6">
        <f t="shared" si="1"/>
        <v>240</v>
      </c>
    </row>
    <row r="295" ht="15.75" customHeight="1">
      <c r="A295" s="4" t="s">
        <v>61</v>
      </c>
      <c r="B295" s="5">
        <v>8.904223818706E12</v>
      </c>
      <c r="C295" s="6">
        <f>VLOOKUP(B295,'SKU Master (X)'!$A$1:$B$66,2,FALSE)</f>
        <v>127</v>
      </c>
      <c r="D295" s="4" t="s">
        <v>7</v>
      </c>
      <c r="E295" s="6">
        <f t="shared" si="1"/>
        <v>127</v>
      </c>
    </row>
    <row r="296" ht="15.75" customHeight="1">
      <c r="A296" s="4" t="s">
        <v>61</v>
      </c>
      <c r="B296" s="5">
        <v>8.904223818942E12</v>
      </c>
      <c r="C296" s="6">
        <f>VLOOKUP(B296,'SKU Master (X)'!$A$1:$B$66,2,FALSE)</f>
        <v>133</v>
      </c>
      <c r="D296" s="4" t="s">
        <v>7</v>
      </c>
      <c r="E296" s="6">
        <f t="shared" si="1"/>
        <v>133</v>
      </c>
    </row>
    <row r="297" ht="15.75" customHeight="1">
      <c r="A297" s="4" t="s">
        <v>61</v>
      </c>
      <c r="B297" s="5">
        <v>8.90422381885E12</v>
      </c>
      <c r="C297" s="6">
        <f>VLOOKUP(B297,'SKU Master (X)'!$A$1:$B$66,2,FALSE)</f>
        <v>240</v>
      </c>
      <c r="D297" s="4" t="s">
        <v>7</v>
      </c>
      <c r="E297" s="6">
        <f t="shared" si="1"/>
        <v>240</v>
      </c>
    </row>
    <row r="298" ht="15.75" customHeight="1">
      <c r="A298" s="4" t="s">
        <v>60</v>
      </c>
      <c r="B298" s="5">
        <v>8.904223818706E12</v>
      </c>
      <c r="C298" s="6">
        <f>VLOOKUP(B298,'SKU Master (X)'!$A$1:$B$66,2,FALSE)</f>
        <v>127</v>
      </c>
      <c r="D298" s="4" t="s">
        <v>7</v>
      </c>
      <c r="E298" s="6">
        <f t="shared" si="1"/>
        <v>127</v>
      </c>
    </row>
    <row r="299" ht="15.75" customHeight="1">
      <c r="A299" s="4" t="s">
        <v>60</v>
      </c>
      <c r="B299" s="5">
        <v>8.904223818942E12</v>
      </c>
      <c r="C299" s="6">
        <f>VLOOKUP(B299,'SKU Master (X)'!$A$1:$B$66,2,FALSE)</f>
        <v>133</v>
      </c>
      <c r="D299" s="4" t="s">
        <v>7</v>
      </c>
      <c r="E299" s="6">
        <f t="shared" si="1"/>
        <v>133</v>
      </c>
    </row>
    <row r="300" ht="15.75" customHeight="1">
      <c r="A300" s="4" t="s">
        <v>60</v>
      </c>
      <c r="B300" s="5">
        <v>8.90422381885E12</v>
      </c>
      <c r="C300" s="6">
        <f>VLOOKUP(B300,'SKU Master (X)'!$A$1:$B$66,2,FALSE)</f>
        <v>240</v>
      </c>
      <c r="D300" s="4" t="s">
        <v>7</v>
      </c>
      <c r="E300" s="6">
        <f t="shared" si="1"/>
        <v>240</v>
      </c>
    </row>
    <row r="301" ht="15.75" customHeight="1">
      <c r="A301" s="4" t="s">
        <v>59</v>
      </c>
      <c r="B301" s="5">
        <v>8.904223819239E12</v>
      </c>
      <c r="C301" s="6">
        <f>VLOOKUP(B301,'SKU Master (X)'!$A$1:$B$66,2,FALSE)</f>
        <v>290</v>
      </c>
      <c r="D301" s="4" t="s">
        <v>7</v>
      </c>
      <c r="E301" s="6">
        <f t="shared" si="1"/>
        <v>290</v>
      </c>
    </row>
    <row r="302" ht="15.75" customHeight="1">
      <c r="A302" s="4" t="s">
        <v>59</v>
      </c>
      <c r="B302" s="5">
        <v>8.904223819246E12</v>
      </c>
      <c r="C302" s="6">
        <f>VLOOKUP(B302,'SKU Master (X)'!$A$1:$B$66,2,FALSE)</f>
        <v>290</v>
      </c>
      <c r="D302" s="4" t="s">
        <v>7</v>
      </c>
      <c r="E302" s="6">
        <f t="shared" si="1"/>
        <v>290</v>
      </c>
    </row>
    <row r="303" ht="15.75" customHeight="1">
      <c r="A303" s="4" t="s">
        <v>59</v>
      </c>
      <c r="B303" s="5">
        <v>8.904223819253E12</v>
      </c>
      <c r="C303" s="6">
        <f>VLOOKUP(B303,'SKU Master (X)'!$A$1:$B$66,2,FALSE)</f>
        <v>290</v>
      </c>
      <c r="D303" s="4" t="s">
        <v>7</v>
      </c>
      <c r="E303" s="6">
        <f t="shared" si="1"/>
        <v>290</v>
      </c>
    </row>
    <row r="304" ht="15.75" customHeight="1">
      <c r="A304" s="4" t="s">
        <v>59</v>
      </c>
      <c r="B304" s="5">
        <v>8.904223818713E12</v>
      </c>
      <c r="C304" s="6">
        <f>VLOOKUP(B304,'SKU Master (X)'!$A$1:$B$66,2,FALSE)</f>
        <v>120</v>
      </c>
      <c r="D304" s="4" t="s">
        <v>7</v>
      </c>
      <c r="E304" s="6">
        <f t="shared" si="1"/>
        <v>120</v>
      </c>
    </row>
    <row r="305" ht="15.75" customHeight="1">
      <c r="A305" s="4" t="s">
        <v>59</v>
      </c>
      <c r="B305" s="5">
        <v>8.904223817273E12</v>
      </c>
      <c r="C305" s="6">
        <f>VLOOKUP(B305,'SKU Master (X)'!$A$1:$B$66,2,FALSE)</f>
        <v>65</v>
      </c>
      <c r="D305" s="4" t="s">
        <v>7</v>
      </c>
      <c r="E305" s="6">
        <f t="shared" si="1"/>
        <v>65</v>
      </c>
    </row>
    <row r="306" ht="15.75" customHeight="1">
      <c r="A306" s="4" t="s">
        <v>59</v>
      </c>
      <c r="B306" s="5">
        <v>8.904223818751E12</v>
      </c>
      <c r="C306" s="6">
        <f>VLOOKUP(B306,'SKU Master (X)'!$A$1:$B$66,2,FALSE)</f>
        <v>113</v>
      </c>
      <c r="D306" s="4" t="s">
        <v>7</v>
      </c>
      <c r="E306" s="6">
        <f t="shared" si="1"/>
        <v>113</v>
      </c>
    </row>
    <row r="307" ht="15.75" customHeight="1">
      <c r="A307" s="4" t="s">
        <v>57</v>
      </c>
      <c r="B307" s="5">
        <v>8.904223819291E12</v>
      </c>
      <c r="C307" s="6">
        <f>VLOOKUP(B307,'SKU Master (X)'!$A$1:$B$66,2,FALSE)</f>
        <v>112</v>
      </c>
      <c r="D307" s="4" t="s">
        <v>20</v>
      </c>
      <c r="E307" s="6">
        <f t="shared" si="1"/>
        <v>448</v>
      </c>
    </row>
    <row r="308" ht="15.75" customHeight="1">
      <c r="A308" s="4" t="s">
        <v>57</v>
      </c>
      <c r="B308" s="5">
        <v>8.904223819031E12</v>
      </c>
      <c r="C308" s="6">
        <f>VLOOKUP(B308,'SKU Master (X)'!$A$1:$B$66,2,FALSE)</f>
        <v>112</v>
      </c>
      <c r="D308" s="4" t="s">
        <v>20</v>
      </c>
      <c r="E308" s="6">
        <f t="shared" si="1"/>
        <v>448</v>
      </c>
    </row>
    <row r="309" ht="15.75" customHeight="1">
      <c r="A309" s="4" t="s">
        <v>57</v>
      </c>
      <c r="B309" s="5">
        <v>8.904223819024E12</v>
      </c>
      <c r="C309" s="6">
        <f>VLOOKUP(B309,'SKU Master (X)'!$A$1:$B$66,2,FALSE)</f>
        <v>112</v>
      </c>
      <c r="D309" s="4" t="s">
        <v>20</v>
      </c>
      <c r="E309" s="6">
        <f t="shared" si="1"/>
        <v>448</v>
      </c>
    </row>
    <row r="310" ht="15.75" customHeight="1">
      <c r="A310" s="4" t="s">
        <v>57</v>
      </c>
      <c r="B310" s="5">
        <v>8.904223819017E12</v>
      </c>
      <c r="C310" s="6">
        <f>VLOOKUP(B310,'SKU Master (X)'!$A$1:$B$66,2,FALSE)</f>
        <v>115</v>
      </c>
      <c r="D310" s="4" t="s">
        <v>7</v>
      </c>
      <c r="E310" s="6">
        <f t="shared" si="1"/>
        <v>115</v>
      </c>
    </row>
    <row r="311" ht="15.75" customHeight="1">
      <c r="A311" s="4" t="s">
        <v>56</v>
      </c>
      <c r="B311" s="5">
        <v>8.904223819468E12</v>
      </c>
      <c r="C311" s="6">
        <f>VLOOKUP(B311,'SKU Master (X)'!$A$1:$B$66,2,FALSE)</f>
        <v>240</v>
      </c>
      <c r="D311" s="4" t="s">
        <v>7</v>
      </c>
      <c r="E311" s="6">
        <f t="shared" si="1"/>
        <v>240</v>
      </c>
    </row>
    <row r="312" ht="15.75" customHeight="1">
      <c r="A312" s="4" t="s">
        <v>54</v>
      </c>
      <c r="B312" s="5">
        <v>8.904223818706E12</v>
      </c>
      <c r="C312" s="6">
        <f>VLOOKUP(B312,'SKU Master (X)'!$A$1:$B$66,2,FALSE)</f>
        <v>127</v>
      </c>
      <c r="D312" s="4" t="s">
        <v>7</v>
      </c>
      <c r="E312" s="6">
        <f t="shared" si="1"/>
        <v>127</v>
      </c>
    </row>
    <row r="313" ht="15.75" customHeight="1">
      <c r="A313" s="4" t="s">
        <v>54</v>
      </c>
      <c r="B313" s="5">
        <v>8.904223818942E12</v>
      </c>
      <c r="C313" s="6">
        <f>VLOOKUP(B313,'SKU Master (X)'!$A$1:$B$66,2,FALSE)</f>
        <v>133</v>
      </c>
      <c r="D313" s="4" t="s">
        <v>7</v>
      </c>
      <c r="E313" s="6">
        <f t="shared" si="1"/>
        <v>133</v>
      </c>
    </row>
    <row r="314" ht="15.75" customHeight="1">
      <c r="A314" s="4" t="s">
        <v>54</v>
      </c>
      <c r="B314" s="5">
        <v>8.90422381885E12</v>
      </c>
      <c r="C314" s="6">
        <f>VLOOKUP(B314,'SKU Master (X)'!$A$1:$B$66,2,FALSE)</f>
        <v>240</v>
      </c>
      <c r="D314" s="4" t="s">
        <v>7</v>
      </c>
      <c r="E314" s="6">
        <f t="shared" si="1"/>
        <v>240</v>
      </c>
    </row>
    <row r="315" ht="15.75" customHeight="1">
      <c r="A315" s="4" t="s">
        <v>53</v>
      </c>
      <c r="B315" s="5">
        <v>8.904223818706E12</v>
      </c>
      <c r="C315" s="6">
        <f>VLOOKUP(B315,'SKU Master (X)'!$A$1:$B$66,2,FALSE)</f>
        <v>127</v>
      </c>
      <c r="D315" s="4" t="s">
        <v>7</v>
      </c>
      <c r="E315" s="6">
        <f t="shared" si="1"/>
        <v>127</v>
      </c>
    </row>
    <row r="316" ht="15.75" customHeight="1">
      <c r="A316" s="4" t="s">
        <v>53</v>
      </c>
      <c r="B316" s="5">
        <v>8.904223818942E12</v>
      </c>
      <c r="C316" s="6">
        <f>VLOOKUP(B316,'SKU Master (X)'!$A$1:$B$66,2,FALSE)</f>
        <v>133</v>
      </c>
      <c r="D316" s="4" t="s">
        <v>7</v>
      </c>
      <c r="E316" s="6">
        <f t="shared" si="1"/>
        <v>133</v>
      </c>
    </row>
    <row r="317" ht="15.75" customHeight="1">
      <c r="A317" s="4" t="s">
        <v>53</v>
      </c>
      <c r="B317" s="5">
        <v>8.90422381885E12</v>
      </c>
      <c r="C317" s="6">
        <f>VLOOKUP(B317,'SKU Master (X)'!$A$1:$B$66,2,FALSE)</f>
        <v>240</v>
      </c>
      <c r="D317" s="4" t="s">
        <v>7</v>
      </c>
      <c r="E317" s="6">
        <f t="shared" si="1"/>
        <v>240</v>
      </c>
    </row>
    <row r="318" ht="15.75" customHeight="1">
      <c r="A318" s="4" t="s">
        <v>51</v>
      </c>
      <c r="B318" s="5">
        <v>8.904223819499E12</v>
      </c>
      <c r="C318" s="6">
        <f>VLOOKUP(B318,'SKU Master (X)'!$A$1:$B$66,2,FALSE)</f>
        <v>210</v>
      </c>
      <c r="D318" s="4" t="s">
        <v>15</v>
      </c>
      <c r="E318" s="6">
        <f t="shared" si="1"/>
        <v>420</v>
      </c>
    </row>
    <row r="319" ht="15.75" customHeight="1">
      <c r="A319" s="4" t="s">
        <v>51</v>
      </c>
      <c r="B319" s="5">
        <v>8.904223819499E12</v>
      </c>
      <c r="C319" s="6">
        <f>VLOOKUP(B319,'SKU Master (X)'!$A$1:$B$66,2,FALSE)</f>
        <v>210</v>
      </c>
      <c r="D319" s="4" t="s">
        <v>15</v>
      </c>
      <c r="E319" s="6">
        <f t="shared" si="1"/>
        <v>420</v>
      </c>
    </row>
    <row r="320" ht="15.75" customHeight="1">
      <c r="A320" s="4" t="s">
        <v>50</v>
      </c>
      <c r="B320" s="5">
        <v>8.904223818706E12</v>
      </c>
      <c r="C320" s="6">
        <f>VLOOKUP(B320,'SKU Master (X)'!$A$1:$B$66,2,FALSE)</f>
        <v>127</v>
      </c>
      <c r="D320" s="4" t="s">
        <v>7</v>
      </c>
      <c r="E320" s="6">
        <f t="shared" si="1"/>
        <v>127</v>
      </c>
    </row>
    <row r="321" ht="15.75" customHeight="1">
      <c r="A321" s="4" t="s">
        <v>50</v>
      </c>
      <c r="B321" s="5">
        <v>8.904223818942E12</v>
      </c>
      <c r="C321" s="6">
        <f>VLOOKUP(B321,'SKU Master (X)'!$A$1:$B$66,2,FALSE)</f>
        <v>133</v>
      </c>
      <c r="D321" s="4" t="s">
        <v>7</v>
      </c>
      <c r="E321" s="6">
        <f t="shared" si="1"/>
        <v>133</v>
      </c>
    </row>
    <row r="322" ht="15.75" customHeight="1">
      <c r="A322" s="4" t="s">
        <v>50</v>
      </c>
      <c r="B322" s="5">
        <v>8.90422381885E12</v>
      </c>
      <c r="C322" s="6">
        <f>VLOOKUP(B322,'SKU Master (X)'!$A$1:$B$66,2,FALSE)</f>
        <v>240</v>
      </c>
      <c r="D322" s="4" t="s">
        <v>7</v>
      </c>
      <c r="E322" s="6">
        <f t="shared" si="1"/>
        <v>240</v>
      </c>
    </row>
    <row r="323" ht="15.75" customHeight="1">
      <c r="A323" s="4" t="s">
        <v>49</v>
      </c>
      <c r="B323" s="5">
        <v>8.904223818706E12</v>
      </c>
      <c r="C323" s="6">
        <f>VLOOKUP(B323,'SKU Master (X)'!$A$1:$B$66,2,FALSE)</f>
        <v>127</v>
      </c>
      <c r="D323" s="4" t="s">
        <v>7</v>
      </c>
      <c r="E323" s="6">
        <f t="shared" si="1"/>
        <v>127</v>
      </c>
    </row>
    <row r="324" ht="15.75" customHeight="1">
      <c r="A324" s="4" t="s">
        <v>47</v>
      </c>
      <c r="B324" s="5">
        <v>8.90422381885E12</v>
      </c>
      <c r="C324" s="6">
        <f>VLOOKUP(B324,'SKU Master (X)'!$A$1:$B$66,2,FALSE)</f>
        <v>240</v>
      </c>
      <c r="D324" s="4" t="s">
        <v>7</v>
      </c>
      <c r="E324" s="6">
        <f t="shared" si="1"/>
        <v>240</v>
      </c>
    </row>
    <row r="325" ht="15.75" customHeight="1">
      <c r="A325" s="4" t="s">
        <v>47</v>
      </c>
      <c r="B325" s="5">
        <v>8.904223818683E12</v>
      </c>
      <c r="C325" s="6">
        <f>VLOOKUP(B325,'SKU Master (X)'!$A$1:$B$66,2,FALSE)</f>
        <v>121</v>
      </c>
      <c r="D325" s="4" t="s">
        <v>7</v>
      </c>
      <c r="E325" s="6">
        <f t="shared" si="1"/>
        <v>121</v>
      </c>
    </row>
    <row r="326" ht="15.75" customHeight="1">
      <c r="A326" s="4" t="s">
        <v>45</v>
      </c>
      <c r="B326" s="5">
        <v>8.904223818706E12</v>
      </c>
      <c r="C326" s="6">
        <f>VLOOKUP(B326,'SKU Master (X)'!$A$1:$B$66,2,FALSE)</f>
        <v>127</v>
      </c>
      <c r="D326" s="4" t="s">
        <v>7</v>
      </c>
      <c r="E326" s="6">
        <f t="shared" si="1"/>
        <v>127</v>
      </c>
    </row>
    <row r="327" ht="15.75" customHeight="1">
      <c r="A327" s="4" t="s">
        <v>45</v>
      </c>
      <c r="B327" s="5">
        <v>8.904223818638E12</v>
      </c>
      <c r="C327" s="6">
        <f>VLOOKUP(B327,'SKU Master (X)'!$A$1:$B$66,2,FALSE)</f>
        <v>137</v>
      </c>
      <c r="D327" s="4" t="s">
        <v>15</v>
      </c>
      <c r="E327" s="6">
        <f t="shared" si="1"/>
        <v>274</v>
      </c>
    </row>
    <row r="328" ht="15.75" customHeight="1">
      <c r="A328" s="4" t="s">
        <v>45</v>
      </c>
      <c r="B328" s="5">
        <v>8.904223819505E12</v>
      </c>
      <c r="C328" s="6">
        <f>VLOOKUP(B328,'SKU Master (X)'!$A$1:$B$66,2,FALSE)</f>
        <v>210</v>
      </c>
      <c r="D328" s="4" t="s">
        <v>7</v>
      </c>
      <c r="E328" s="6">
        <f t="shared" si="1"/>
        <v>210</v>
      </c>
    </row>
    <row r="329" ht="15.75" customHeight="1">
      <c r="A329" s="4" t="s">
        <v>43</v>
      </c>
      <c r="B329" s="5">
        <v>8.904223819512E12</v>
      </c>
      <c r="C329" s="6">
        <f>VLOOKUP(B329,'SKU Master (X)'!$A$1:$B$66,2,FALSE)</f>
        <v>210</v>
      </c>
      <c r="D329" s="4" t="s">
        <v>20</v>
      </c>
      <c r="E329" s="6">
        <f t="shared" si="1"/>
        <v>840</v>
      </c>
    </row>
    <row r="330" ht="15.75" customHeight="1">
      <c r="A330" s="4" t="s">
        <v>42</v>
      </c>
      <c r="B330" s="5">
        <v>8.904223818706E12</v>
      </c>
      <c r="C330" s="6">
        <f>VLOOKUP(B330,'SKU Master (X)'!$A$1:$B$66,2,FALSE)</f>
        <v>127</v>
      </c>
      <c r="D330" s="4" t="s">
        <v>7</v>
      </c>
      <c r="E330" s="6">
        <f t="shared" si="1"/>
        <v>127</v>
      </c>
    </row>
    <row r="331" ht="15.75" customHeight="1">
      <c r="A331" s="4" t="s">
        <v>42</v>
      </c>
      <c r="B331" s="5">
        <v>8.904223818942E12</v>
      </c>
      <c r="C331" s="6">
        <f>VLOOKUP(B331,'SKU Master (X)'!$A$1:$B$66,2,FALSE)</f>
        <v>133</v>
      </c>
      <c r="D331" s="4" t="s">
        <v>7</v>
      </c>
      <c r="E331" s="6">
        <f t="shared" si="1"/>
        <v>133</v>
      </c>
    </row>
    <row r="332" ht="15.75" customHeight="1">
      <c r="A332" s="4" t="s">
        <v>42</v>
      </c>
      <c r="B332" s="5">
        <v>8.90422381885E12</v>
      </c>
      <c r="C332" s="6">
        <f>VLOOKUP(B332,'SKU Master (X)'!$A$1:$B$66,2,FALSE)</f>
        <v>240</v>
      </c>
      <c r="D332" s="4" t="s">
        <v>7</v>
      </c>
      <c r="E332" s="6">
        <f t="shared" si="1"/>
        <v>240</v>
      </c>
    </row>
    <row r="333" ht="15.75" customHeight="1">
      <c r="A333" s="4" t="s">
        <v>41</v>
      </c>
      <c r="B333" s="5">
        <v>8.904223819031E12</v>
      </c>
      <c r="C333" s="6">
        <f>VLOOKUP(B333,'SKU Master (X)'!$A$1:$B$66,2,FALSE)</f>
        <v>112</v>
      </c>
      <c r="D333" s="4" t="s">
        <v>7</v>
      </c>
      <c r="E333" s="6">
        <f t="shared" si="1"/>
        <v>112</v>
      </c>
    </row>
    <row r="334" ht="15.75" customHeight="1">
      <c r="A334" s="4" t="s">
        <v>41</v>
      </c>
      <c r="B334" s="5">
        <v>8.90422381843E12</v>
      </c>
      <c r="C334" s="6">
        <f>VLOOKUP(B334,'SKU Master (X)'!$A$1:$B$66,2,FALSE)</f>
        <v>165</v>
      </c>
      <c r="D334" s="4" t="s">
        <v>7</v>
      </c>
      <c r="E334" s="6">
        <f t="shared" si="1"/>
        <v>165</v>
      </c>
    </row>
    <row r="335" ht="15.75" customHeight="1">
      <c r="A335" s="4" t="s">
        <v>41</v>
      </c>
      <c r="B335" s="5">
        <v>8.90422381885E12</v>
      </c>
      <c r="C335" s="6">
        <f>VLOOKUP(B335,'SKU Master (X)'!$A$1:$B$66,2,FALSE)</f>
        <v>240</v>
      </c>
      <c r="D335" s="4" t="s">
        <v>7</v>
      </c>
      <c r="E335" s="6">
        <f t="shared" si="1"/>
        <v>240</v>
      </c>
    </row>
    <row r="336" ht="15.75" customHeight="1">
      <c r="A336" s="4" t="s">
        <v>41</v>
      </c>
      <c r="B336" s="5">
        <v>8.904223819512E12</v>
      </c>
      <c r="C336" s="6">
        <f>VLOOKUP(B336,'SKU Master (X)'!$A$1:$B$66,2,FALSE)</f>
        <v>210</v>
      </c>
      <c r="D336" s="4" t="s">
        <v>7</v>
      </c>
      <c r="E336" s="6">
        <f t="shared" si="1"/>
        <v>210</v>
      </c>
    </row>
    <row r="337" ht="15.75" customHeight="1">
      <c r="A337" s="4" t="s">
        <v>41</v>
      </c>
      <c r="B337" s="5">
        <v>8.904223819468E12</v>
      </c>
      <c r="C337" s="6">
        <f>VLOOKUP(B337,'SKU Master (X)'!$A$1:$B$66,2,FALSE)</f>
        <v>240</v>
      </c>
      <c r="D337" s="4" t="s">
        <v>7</v>
      </c>
      <c r="E337" s="6">
        <f t="shared" si="1"/>
        <v>240</v>
      </c>
    </row>
    <row r="338" ht="15.75" customHeight="1">
      <c r="A338" s="4" t="s">
        <v>39</v>
      </c>
      <c r="B338" s="5">
        <v>8.904223818706E12</v>
      </c>
      <c r="C338" s="6">
        <f>VLOOKUP(B338,'SKU Master (X)'!$A$1:$B$66,2,FALSE)</f>
        <v>127</v>
      </c>
      <c r="D338" s="4" t="s">
        <v>7</v>
      </c>
      <c r="E338" s="6">
        <f t="shared" si="1"/>
        <v>127</v>
      </c>
    </row>
    <row r="339" ht="15.75" customHeight="1">
      <c r="A339" s="4" t="s">
        <v>39</v>
      </c>
      <c r="B339" s="5">
        <v>8.904223818942E12</v>
      </c>
      <c r="C339" s="6">
        <f>VLOOKUP(B339,'SKU Master (X)'!$A$1:$B$66,2,FALSE)</f>
        <v>133</v>
      </c>
      <c r="D339" s="4" t="s">
        <v>7</v>
      </c>
      <c r="E339" s="6">
        <f t="shared" si="1"/>
        <v>133</v>
      </c>
    </row>
    <row r="340" ht="15.75" customHeight="1">
      <c r="A340" s="4" t="s">
        <v>39</v>
      </c>
      <c r="B340" s="5">
        <v>8.90422381885E12</v>
      </c>
      <c r="C340" s="6">
        <f>VLOOKUP(B340,'SKU Master (X)'!$A$1:$B$66,2,FALSE)</f>
        <v>240</v>
      </c>
      <c r="D340" s="4" t="s">
        <v>7</v>
      </c>
      <c r="E340" s="6">
        <f t="shared" si="1"/>
        <v>240</v>
      </c>
    </row>
    <row r="341" ht="15.75" customHeight="1">
      <c r="A341" s="4" t="s">
        <v>37</v>
      </c>
      <c r="B341" s="5">
        <v>8.904223819468E12</v>
      </c>
      <c r="C341" s="6">
        <f>VLOOKUP(B341,'SKU Master (X)'!$A$1:$B$66,2,FALSE)</f>
        <v>240</v>
      </c>
      <c r="D341" s="4" t="s">
        <v>7</v>
      </c>
      <c r="E341" s="6">
        <f t="shared" si="1"/>
        <v>240</v>
      </c>
    </row>
    <row r="342" ht="15.75" customHeight="1">
      <c r="A342" s="4" t="s">
        <v>36</v>
      </c>
      <c r="B342" s="5">
        <v>8.904223818706E12</v>
      </c>
      <c r="C342" s="6">
        <f>VLOOKUP(B342,'SKU Master (X)'!$A$1:$B$66,2,FALSE)</f>
        <v>127</v>
      </c>
      <c r="D342" s="4" t="s">
        <v>7</v>
      </c>
      <c r="E342" s="6">
        <f t="shared" si="1"/>
        <v>127</v>
      </c>
    </row>
    <row r="343" ht="15.75" customHeight="1">
      <c r="A343" s="4" t="s">
        <v>36</v>
      </c>
      <c r="B343" s="5">
        <v>8.904223818942E12</v>
      </c>
      <c r="C343" s="6">
        <f>VLOOKUP(B343,'SKU Master (X)'!$A$1:$B$66,2,FALSE)</f>
        <v>133</v>
      </c>
      <c r="D343" s="4" t="s">
        <v>7</v>
      </c>
      <c r="E343" s="6">
        <f t="shared" si="1"/>
        <v>133</v>
      </c>
    </row>
    <row r="344" ht="15.75" customHeight="1">
      <c r="A344" s="4" t="s">
        <v>36</v>
      </c>
      <c r="B344" s="5">
        <v>8.90422381885E12</v>
      </c>
      <c r="C344" s="6">
        <f>VLOOKUP(B344,'SKU Master (X)'!$A$1:$B$66,2,FALSE)</f>
        <v>240</v>
      </c>
      <c r="D344" s="4" t="s">
        <v>7</v>
      </c>
      <c r="E344" s="6">
        <f t="shared" si="1"/>
        <v>240</v>
      </c>
    </row>
    <row r="345" ht="15.75" customHeight="1">
      <c r="A345" s="4" t="s">
        <v>34</v>
      </c>
      <c r="B345" s="5">
        <v>8.904223818669E12</v>
      </c>
      <c r="C345" s="6">
        <f>VLOOKUP(B345,'SKU Master (X)'!$A$1:$B$66,2,FALSE)</f>
        <v>240</v>
      </c>
      <c r="D345" s="4" t="s">
        <v>7</v>
      </c>
      <c r="E345" s="6">
        <f t="shared" si="1"/>
        <v>240</v>
      </c>
    </row>
    <row r="346" ht="15.75" customHeight="1">
      <c r="A346" s="4" t="s">
        <v>34</v>
      </c>
      <c r="B346" s="5">
        <v>8.904223818683E12</v>
      </c>
      <c r="C346" s="6">
        <f>VLOOKUP(B346,'SKU Master (X)'!$A$1:$B$66,2,FALSE)</f>
        <v>121</v>
      </c>
      <c r="D346" s="4" t="s">
        <v>7</v>
      </c>
      <c r="E346" s="6">
        <f t="shared" si="1"/>
        <v>121</v>
      </c>
    </row>
    <row r="347" ht="15.75" customHeight="1">
      <c r="A347" s="4" t="s">
        <v>34</v>
      </c>
      <c r="B347" s="5">
        <v>8.904223818935E12</v>
      </c>
      <c r="C347" s="6">
        <f>VLOOKUP(B347,'SKU Master (X)'!$A$1:$B$66,2,FALSE)</f>
        <v>120</v>
      </c>
      <c r="D347" s="4" t="s">
        <v>7</v>
      </c>
      <c r="E347" s="6">
        <f t="shared" si="1"/>
        <v>120</v>
      </c>
    </row>
    <row r="348" ht="15.75" customHeight="1">
      <c r="A348" s="4" t="s">
        <v>34</v>
      </c>
      <c r="B348" s="5">
        <v>8.904223818713E12</v>
      </c>
      <c r="C348" s="6">
        <f>VLOOKUP(B348,'SKU Master (X)'!$A$1:$B$66,2,FALSE)</f>
        <v>120</v>
      </c>
      <c r="D348" s="4" t="s">
        <v>7</v>
      </c>
      <c r="E348" s="6">
        <f t="shared" si="1"/>
        <v>120</v>
      </c>
    </row>
    <row r="349" ht="15.75" customHeight="1">
      <c r="A349" s="4" t="s">
        <v>34</v>
      </c>
      <c r="B349" s="5">
        <v>8.904223819024E12</v>
      </c>
      <c r="C349" s="6">
        <f>VLOOKUP(B349,'SKU Master (X)'!$A$1:$B$66,2,FALSE)</f>
        <v>112</v>
      </c>
      <c r="D349" s="4" t="s">
        <v>7</v>
      </c>
      <c r="E349" s="6">
        <f t="shared" si="1"/>
        <v>112</v>
      </c>
    </row>
    <row r="350" ht="15.75" customHeight="1">
      <c r="A350" s="4" t="s">
        <v>34</v>
      </c>
      <c r="B350" s="5">
        <v>8.904223819123E12</v>
      </c>
      <c r="C350" s="6">
        <f>VLOOKUP(B350,'SKU Master (X)'!$A$1:$B$66,2,FALSE)</f>
        <v>250</v>
      </c>
      <c r="D350" s="4" t="s">
        <v>7</v>
      </c>
      <c r="E350" s="6">
        <f t="shared" si="1"/>
        <v>250</v>
      </c>
    </row>
    <row r="351" ht="15.75" customHeight="1">
      <c r="A351" s="4" t="s">
        <v>32</v>
      </c>
      <c r="B351" s="5">
        <v>8.904223818706E12</v>
      </c>
      <c r="C351" s="6">
        <f>VLOOKUP(B351,'SKU Master (X)'!$A$1:$B$66,2,FALSE)</f>
        <v>127</v>
      </c>
      <c r="D351" s="4" t="s">
        <v>7</v>
      </c>
      <c r="E351" s="6">
        <f t="shared" si="1"/>
        <v>127</v>
      </c>
    </row>
    <row r="352" ht="15.75" customHeight="1">
      <c r="A352" s="4" t="s">
        <v>32</v>
      </c>
      <c r="B352" s="5">
        <v>8.904223818942E12</v>
      </c>
      <c r="C352" s="6">
        <f>VLOOKUP(B352,'SKU Master (X)'!$A$1:$B$66,2,FALSE)</f>
        <v>133</v>
      </c>
      <c r="D352" s="4" t="s">
        <v>7</v>
      </c>
      <c r="E352" s="6">
        <f t="shared" si="1"/>
        <v>133</v>
      </c>
    </row>
    <row r="353" ht="15.75" customHeight="1">
      <c r="A353" s="4" t="s">
        <v>32</v>
      </c>
      <c r="B353" s="5">
        <v>8.90422381885E12</v>
      </c>
      <c r="C353" s="6">
        <f>VLOOKUP(B353,'SKU Master (X)'!$A$1:$B$66,2,FALSE)</f>
        <v>240</v>
      </c>
      <c r="D353" s="4" t="s">
        <v>7</v>
      </c>
      <c r="E353" s="6">
        <f t="shared" si="1"/>
        <v>240</v>
      </c>
    </row>
    <row r="354" ht="15.75" customHeight="1">
      <c r="A354" s="4" t="s">
        <v>30</v>
      </c>
      <c r="B354" s="5">
        <v>8.904223818591E12</v>
      </c>
      <c r="C354" s="6">
        <f>VLOOKUP(B354,'SKU Master (X)'!$A$1:$B$66,2,FALSE)</f>
        <v>120</v>
      </c>
      <c r="D354" s="4" t="s">
        <v>7</v>
      </c>
      <c r="E354" s="6">
        <f t="shared" si="1"/>
        <v>120</v>
      </c>
    </row>
    <row r="355" ht="15.75" customHeight="1">
      <c r="A355" s="4" t="s">
        <v>30</v>
      </c>
      <c r="B355" s="5">
        <v>8.904223816214E12</v>
      </c>
      <c r="C355" s="6">
        <f>VLOOKUP(B355,'SKU Master (X)'!$A$1:$B$66,2,FALSE)</f>
        <v>120</v>
      </c>
      <c r="D355" s="4" t="s">
        <v>7</v>
      </c>
      <c r="E355" s="6">
        <f t="shared" si="1"/>
        <v>120</v>
      </c>
    </row>
    <row r="356" ht="15.75" customHeight="1">
      <c r="A356" s="4" t="s">
        <v>30</v>
      </c>
      <c r="B356" s="5">
        <v>8.904223819024E12</v>
      </c>
      <c r="C356" s="6">
        <f>VLOOKUP(B356,'SKU Master (X)'!$A$1:$B$66,2,FALSE)</f>
        <v>112</v>
      </c>
      <c r="D356" s="4" t="s">
        <v>7</v>
      </c>
      <c r="E356" s="6">
        <f t="shared" si="1"/>
        <v>112</v>
      </c>
    </row>
    <row r="357" ht="15.75" customHeight="1">
      <c r="A357" s="4" t="s">
        <v>30</v>
      </c>
      <c r="B357" s="5">
        <v>8.904223819253E12</v>
      </c>
      <c r="C357" s="6">
        <f>VLOOKUP(B357,'SKU Master (X)'!$A$1:$B$66,2,FALSE)</f>
        <v>290</v>
      </c>
      <c r="D357" s="4" t="s">
        <v>7</v>
      </c>
      <c r="E357" s="6">
        <f t="shared" si="1"/>
        <v>290</v>
      </c>
    </row>
    <row r="358" ht="15.75" customHeight="1">
      <c r="A358" s="4" t="s">
        <v>30</v>
      </c>
      <c r="B358" s="5">
        <v>8.904223815804E12</v>
      </c>
      <c r="C358" s="6">
        <f>VLOOKUP(B358,'SKU Master (X)'!$A$1:$B$66,2,FALSE)</f>
        <v>160</v>
      </c>
      <c r="D358" s="4" t="s">
        <v>7</v>
      </c>
      <c r="E358" s="6">
        <f t="shared" si="1"/>
        <v>160</v>
      </c>
    </row>
    <row r="359" ht="15.75" customHeight="1">
      <c r="A359" s="4" t="s">
        <v>30</v>
      </c>
      <c r="B359" s="5">
        <v>8.904223818577E12</v>
      </c>
      <c r="C359" s="6">
        <f>VLOOKUP(B359,'SKU Master (X)'!$A$1:$B$66,2,FALSE)</f>
        <v>150</v>
      </c>
      <c r="D359" s="4" t="s">
        <v>7</v>
      </c>
      <c r="E359" s="6">
        <f t="shared" si="1"/>
        <v>150</v>
      </c>
    </row>
    <row r="360" ht="15.75" customHeight="1">
      <c r="A360" s="4" t="s">
        <v>29</v>
      </c>
      <c r="B360" s="5">
        <v>8.904223818706E12</v>
      </c>
      <c r="C360" s="6">
        <f>VLOOKUP(B360,'SKU Master (X)'!$A$1:$B$66,2,FALSE)</f>
        <v>127</v>
      </c>
      <c r="D360" s="4" t="s">
        <v>7</v>
      </c>
      <c r="E360" s="6">
        <f t="shared" si="1"/>
        <v>127</v>
      </c>
    </row>
    <row r="361" ht="15.75" customHeight="1">
      <c r="A361" s="4" t="s">
        <v>28</v>
      </c>
      <c r="B361" s="5">
        <v>8.904223818706E12</v>
      </c>
      <c r="C361" s="6">
        <f>VLOOKUP(B361,'SKU Master (X)'!$A$1:$B$66,2,FALSE)</f>
        <v>127</v>
      </c>
      <c r="D361" s="4" t="s">
        <v>7</v>
      </c>
      <c r="E361" s="6">
        <f t="shared" si="1"/>
        <v>127</v>
      </c>
    </row>
    <row r="362" ht="15.75" customHeight="1">
      <c r="A362" s="4" t="s">
        <v>28</v>
      </c>
      <c r="B362" s="5">
        <v>8.904223818942E12</v>
      </c>
      <c r="C362" s="6">
        <f>VLOOKUP(B362,'SKU Master (X)'!$A$1:$B$66,2,FALSE)</f>
        <v>133</v>
      </c>
      <c r="D362" s="4" t="s">
        <v>7</v>
      </c>
      <c r="E362" s="6">
        <f t="shared" si="1"/>
        <v>133</v>
      </c>
    </row>
    <row r="363" ht="15.75" customHeight="1">
      <c r="A363" s="4" t="s">
        <v>28</v>
      </c>
      <c r="B363" s="5">
        <v>8.90422381885E12</v>
      </c>
      <c r="C363" s="6">
        <f>VLOOKUP(B363,'SKU Master (X)'!$A$1:$B$66,2,FALSE)</f>
        <v>240</v>
      </c>
      <c r="D363" s="4" t="s">
        <v>7</v>
      </c>
      <c r="E363" s="6">
        <f t="shared" si="1"/>
        <v>240</v>
      </c>
    </row>
    <row r="364" ht="15.75" customHeight="1">
      <c r="A364" s="4" t="s">
        <v>26</v>
      </c>
      <c r="B364" s="5">
        <v>8.904223818706E12</v>
      </c>
      <c r="C364" s="6">
        <f>VLOOKUP(B364,'SKU Master (X)'!$A$1:$B$66,2,FALSE)</f>
        <v>127</v>
      </c>
      <c r="D364" s="4" t="s">
        <v>15</v>
      </c>
      <c r="E364" s="6">
        <f t="shared" si="1"/>
        <v>254</v>
      </c>
    </row>
    <row r="365" ht="15.75" customHeight="1">
      <c r="A365" s="4" t="s">
        <v>26</v>
      </c>
      <c r="B365" s="5">
        <v>8.904223818942E12</v>
      </c>
      <c r="C365" s="6">
        <f>VLOOKUP(B365,'SKU Master (X)'!$A$1:$B$66,2,FALSE)</f>
        <v>133</v>
      </c>
      <c r="D365" s="4" t="s">
        <v>15</v>
      </c>
      <c r="E365" s="6">
        <f t="shared" si="1"/>
        <v>266</v>
      </c>
    </row>
    <row r="366" ht="15.75" customHeight="1">
      <c r="A366" s="4" t="s">
        <v>26</v>
      </c>
      <c r="B366" s="5">
        <v>8.90422381885E12</v>
      </c>
      <c r="C366" s="6">
        <f>VLOOKUP(B366,'SKU Master (X)'!$A$1:$B$66,2,FALSE)</f>
        <v>240</v>
      </c>
      <c r="D366" s="4" t="s">
        <v>15</v>
      </c>
      <c r="E366" s="6">
        <f t="shared" si="1"/>
        <v>480</v>
      </c>
    </row>
    <row r="367" ht="15.75" customHeight="1">
      <c r="A367" s="4" t="s">
        <v>26</v>
      </c>
      <c r="B367" s="5">
        <v>8.904223818706E12</v>
      </c>
      <c r="C367" s="6">
        <f>VLOOKUP(B367,'SKU Master (X)'!$A$1:$B$66,2,FALSE)</f>
        <v>127</v>
      </c>
      <c r="D367" s="4" t="s">
        <v>7</v>
      </c>
      <c r="E367" s="6">
        <f t="shared" si="1"/>
        <v>127</v>
      </c>
    </row>
    <row r="368" ht="15.75" customHeight="1">
      <c r="A368" s="4" t="s">
        <v>26</v>
      </c>
      <c r="B368" s="5">
        <v>8.904223818942E12</v>
      </c>
      <c r="C368" s="6">
        <f>VLOOKUP(B368,'SKU Master (X)'!$A$1:$B$66,2,FALSE)</f>
        <v>133</v>
      </c>
      <c r="D368" s="4" t="s">
        <v>7</v>
      </c>
      <c r="E368" s="6">
        <f t="shared" si="1"/>
        <v>133</v>
      </c>
    </row>
    <row r="369" ht="15.75" customHeight="1">
      <c r="A369" s="4" t="s">
        <v>26</v>
      </c>
      <c r="B369" s="5">
        <v>8.90422381885E12</v>
      </c>
      <c r="C369" s="6">
        <f>VLOOKUP(B369,'SKU Master (X)'!$A$1:$B$66,2,FALSE)</f>
        <v>240</v>
      </c>
      <c r="D369" s="4" t="s">
        <v>7</v>
      </c>
      <c r="E369" s="6">
        <f t="shared" si="1"/>
        <v>240</v>
      </c>
    </row>
    <row r="370" ht="15.75" customHeight="1">
      <c r="A370" s="4" t="s">
        <v>26</v>
      </c>
      <c r="B370" s="5">
        <v>8.904223818683E12</v>
      </c>
      <c r="C370" s="6">
        <f>VLOOKUP(B370,'SKU Master (X)'!$A$1:$B$66,2,FALSE)</f>
        <v>121</v>
      </c>
      <c r="D370" s="4" t="s">
        <v>7</v>
      </c>
      <c r="E370" s="6">
        <f t="shared" si="1"/>
        <v>121</v>
      </c>
    </row>
    <row r="371" ht="15.75" customHeight="1">
      <c r="A371" s="4" t="s">
        <v>25</v>
      </c>
      <c r="B371" s="5">
        <v>8.904223819284E12</v>
      </c>
      <c r="C371" s="6">
        <f>VLOOKUP(B371,'SKU Master (X)'!$A$1:$B$66,2,FALSE)</f>
        <v>350</v>
      </c>
      <c r="D371" s="4" t="s">
        <v>7</v>
      </c>
      <c r="E371" s="6">
        <f t="shared" si="1"/>
        <v>350</v>
      </c>
    </row>
    <row r="372" ht="15.75" customHeight="1">
      <c r="A372" s="4" t="s">
        <v>25</v>
      </c>
      <c r="B372" s="5">
        <v>8.904223818478E12</v>
      </c>
      <c r="C372" s="6">
        <f>VLOOKUP(B372,'SKU Master (X)'!$A$1:$B$66,2,FALSE)</f>
        <v>350</v>
      </c>
      <c r="D372" s="4" t="s">
        <v>7</v>
      </c>
      <c r="E372" s="6">
        <f t="shared" si="1"/>
        <v>350</v>
      </c>
    </row>
    <row r="373" ht="15.75" customHeight="1">
      <c r="A373" s="4" t="s">
        <v>24</v>
      </c>
      <c r="B373" s="5">
        <v>8.904223818706E12</v>
      </c>
      <c r="C373" s="6">
        <f>VLOOKUP(B373,'SKU Master (X)'!$A$1:$B$66,2,FALSE)</f>
        <v>127</v>
      </c>
      <c r="D373" s="4" t="s">
        <v>7</v>
      </c>
      <c r="E373" s="6">
        <f t="shared" si="1"/>
        <v>127</v>
      </c>
    </row>
    <row r="374" ht="15.75" customHeight="1">
      <c r="A374" s="4" t="s">
        <v>24</v>
      </c>
      <c r="B374" s="5">
        <v>8.904223818942E12</v>
      </c>
      <c r="C374" s="6">
        <f>VLOOKUP(B374,'SKU Master (X)'!$A$1:$B$66,2,FALSE)</f>
        <v>133</v>
      </c>
      <c r="D374" s="4" t="s">
        <v>7</v>
      </c>
      <c r="E374" s="6">
        <f t="shared" si="1"/>
        <v>133</v>
      </c>
    </row>
    <row r="375" ht="15.75" customHeight="1">
      <c r="A375" s="4" t="s">
        <v>24</v>
      </c>
      <c r="B375" s="5">
        <v>8.90422381885E12</v>
      </c>
      <c r="C375" s="6">
        <f>VLOOKUP(B375,'SKU Master (X)'!$A$1:$B$66,2,FALSE)</f>
        <v>240</v>
      </c>
      <c r="D375" s="4" t="s">
        <v>7</v>
      </c>
      <c r="E375" s="6">
        <f t="shared" si="1"/>
        <v>240</v>
      </c>
    </row>
    <row r="376" ht="15.75" customHeight="1">
      <c r="A376" s="4" t="s">
        <v>22</v>
      </c>
      <c r="B376" s="5">
        <v>8.904223819437E12</v>
      </c>
      <c r="C376" s="6">
        <f>VLOOKUP(B376,'SKU Master (X)'!$A$1:$B$66,2,FALSE)</f>
        <v>552</v>
      </c>
      <c r="D376" s="4" t="s">
        <v>15</v>
      </c>
      <c r="E376" s="6">
        <f t="shared" si="1"/>
        <v>1104</v>
      </c>
    </row>
    <row r="377" ht="15.75" customHeight="1">
      <c r="A377" s="4" t="s">
        <v>22</v>
      </c>
      <c r="B377" s="5">
        <v>8.904223819352E12</v>
      </c>
      <c r="C377" s="6">
        <f>VLOOKUP(B377,'SKU Master (X)'!$A$1:$B$66,2,FALSE)</f>
        <v>165</v>
      </c>
      <c r="D377" s="4" t="s">
        <v>7</v>
      </c>
      <c r="E377" s="6">
        <f t="shared" si="1"/>
        <v>165</v>
      </c>
    </row>
    <row r="378" ht="15.75" customHeight="1">
      <c r="A378" s="4" t="s">
        <v>22</v>
      </c>
      <c r="B378" s="5">
        <v>8.904223819024E12</v>
      </c>
      <c r="C378" s="6">
        <f>VLOOKUP(B378,'SKU Master (X)'!$A$1:$B$66,2,FALSE)</f>
        <v>112</v>
      </c>
      <c r="D378" s="4" t="s">
        <v>33</v>
      </c>
      <c r="E378" s="6">
        <f t="shared" si="1"/>
        <v>896</v>
      </c>
    </row>
    <row r="379" ht="15.75" customHeight="1">
      <c r="A379" s="4" t="s">
        <v>22</v>
      </c>
      <c r="B379" s="5">
        <v>8.904223818874E12</v>
      </c>
      <c r="C379" s="6">
        <f>VLOOKUP(B379,'SKU Master (X)'!$A$1:$B$66,2,FALSE)</f>
        <v>100</v>
      </c>
      <c r="D379" s="4" t="s">
        <v>7</v>
      </c>
      <c r="E379" s="6">
        <f t="shared" si="1"/>
        <v>100</v>
      </c>
    </row>
    <row r="380" ht="15.75" customHeight="1">
      <c r="A380" s="4" t="s">
        <v>21</v>
      </c>
      <c r="B380" s="5">
        <v>8.904223818706E12</v>
      </c>
      <c r="C380" s="6">
        <f>VLOOKUP(B380,'SKU Master (X)'!$A$1:$B$66,2,FALSE)</f>
        <v>127</v>
      </c>
      <c r="D380" s="4" t="s">
        <v>7</v>
      </c>
      <c r="E380" s="6">
        <f t="shared" si="1"/>
        <v>127</v>
      </c>
    </row>
    <row r="381" ht="15.75" customHeight="1">
      <c r="A381" s="4" t="s">
        <v>21</v>
      </c>
      <c r="B381" s="5">
        <v>8.904223818942E12</v>
      </c>
      <c r="C381" s="6">
        <f>VLOOKUP(B381,'SKU Master (X)'!$A$1:$B$66,2,FALSE)</f>
        <v>133</v>
      </c>
      <c r="D381" s="4" t="s">
        <v>7</v>
      </c>
      <c r="E381" s="6">
        <f t="shared" si="1"/>
        <v>133</v>
      </c>
    </row>
    <row r="382" ht="15.75" customHeight="1">
      <c r="A382" s="4" t="s">
        <v>21</v>
      </c>
      <c r="B382" s="5">
        <v>8.90422381885E12</v>
      </c>
      <c r="C382" s="6">
        <f>VLOOKUP(B382,'SKU Master (X)'!$A$1:$B$66,2,FALSE)</f>
        <v>240</v>
      </c>
      <c r="D382" s="4" t="s">
        <v>7</v>
      </c>
      <c r="E382" s="6">
        <f t="shared" si="1"/>
        <v>240</v>
      </c>
    </row>
    <row r="383" ht="15.75" customHeight="1">
      <c r="A383" s="4" t="s">
        <v>18</v>
      </c>
      <c r="B383" s="5">
        <v>8.904223818706E12</v>
      </c>
      <c r="C383" s="6">
        <f>VLOOKUP(B383,'SKU Master (X)'!$A$1:$B$66,2,FALSE)</f>
        <v>127</v>
      </c>
      <c r="D383" s="4" t="s">
        <v>7</v>
      </c>
      <c r="E383" s="6">
        <f t="shared" si="1"/>
        <v>127</v>
      </c>
    </row>
    <row r="384" ht="15.75" customHeight="1">
      <c r="A384" s="4" t="s">
        <v>18</v>
      </c>
      <c r="B384" s="5">
        <v>8.904223818942E12</v>
      </c>
      <c r="C384" s="6">
        <f>VLOOKUP(B384,'SKU Master (X)'!$A$1:$B$66,2,FALSE)</f>
        <v>133</v>
      </c>
      <c r="D384" s="4" t="s">
        <v>7</v>
      </c>
      <c r="E384" s="6">
        <f t="shared" si="1"/>
        <v>133</v>
      </c>
    </row>
    <row r="385" ht="15.75" customHeight="1">
      <c r="A385" s="4" t="s">
        <v>18</v>
      </c>
      <c r="B385" s="5">
        <v>8.90422381885E12</v>
      </c>
      <c r="C385" s="6">
        <f>VLOOKUP(B385,'SKU Master (X)'!$A$1:$B$66,2,FALSE)</f>
        <v>240</v>
      </c>
      <c r="D385" s="4" t="s">
        <v>7</v>
      </c>
      <c r="E385" s="6">
        <f t="shared" si="1"/>
        <v>240</v>
      </c>
    </row>
    <row r="386" ht="15.75" customHeight="1">
      <c r="A386" s="4" t="s">
        <v>16</v>
      </c>
      <c r="B386" s="5">
        <v>8.904223819017E12</v>
      </c>
      <c r="C386" s="6">
        <f>VLOOKUP(B386,'SKU Master (X)'!$A$1:$B$66,2,FALSE)</f>
        <v>115</v>
      </c>
      <c r="D386" s="4" t="s">
        <v>7</v>
      </c>
      <c r="E386" s="6">
        <f t="shared" si="1"/>
        <v>115</v>
      </c>
    </row>
    <row r="387" ht="15.75" customHeight="1">
      <c r="A387" s="4" t="s">
        <v>16</v>
      </c>
      <c r="B387" s="5">
        <v>8.904223818706E12</v>
      </c>
      <c r="C387" s="6">
        <f>VLOOKUP(B387,'SKU Master (X)'!$A$1:$B$66,2,FALSE)</f>
        <v>127</v>
      </c>
      <c r="D387" s="4" t="s">
        <v>7</v>
      </c>
      <c r="E387" s="6">
        <f t="shared" si="1"/>
        <v>127</v>
      </c>
    </row>
    <row r="388" ht="15.75" customHeight="1">
      <c r="A388" s="4" t="s">
        <v>16</v>
      </c>
      <c r="B388" s="5">
        <v>8.904223818942E12</v>
      </c>
      <c r="C388" s="6">
        <f>VLOOKUP(B388,'SKU Master (X)'!$A$1:$B$66,2,FALSE)</f>
        <v>133</v>
      </c>
      <c r="D388" s="4" t="s">
        <v>7</v>
      </c>
      <c r="E388" s="6">
        <f t="shared" si="1"/>
        <v>133</v>
      </c>
    </row>
    <row r="389" ht="15.75" customHeight="1">
      <c r="A389" s="4" t="s">
        <v>16</v>
      </c>
      <c r="B389" s="5">
        <v>8.90422381885E12</v>
      </c>
      <c r="C389" s="6">
        <f>VLOOKUP(B389,'SKU Master (X)'!$A$1:$B$66,2,FALSE)</f>
        <v>240</v>
      </c>
      <c r="D389" s="4" t="s">
        <v>7</v>
      </c>
      <c r="E389" s="6">
        <f t="shared" si="1"/>
        <v>240</v>
      </c>
    </row>
    <row r="390" ht="15.75" customHeight="1">
      <c r="A390" s="4" t="s">
        <v>14</v>
      </c>
      <c r="B390" s="5">
        <v>8.904223819161E12</v>
      </c>
      <c r="C390" s="6">
        <f>VLOOKUP(B390,'SKU Master (X)'!$A$1:$B$66,2,FALSE)</f>
        <v>115</v>
      </c>
      <c r="D390" s="4" t="s">
        <v>7</v>
      </c>
      <c r="E390" s="6">
        <f t="shared" si="1"/>
        <v>115</v>
      </c>
    </row>
    <row r="391" ht="15.75" customHeight="1">
      <c r="A391" s="4" t="s">
        <v>14</v>
      </c>
      <c r="B391" s="5">
        <v>8.90422381926E12</v>
      </c>
      <c r="C391" s="6">
        <f>VLOOKUP(B391,'SKU Master (X)'!$A$1:$B$66,2,FALSE)</f>
        <v>130</v>
      </c>
      <c r="D391" s="4" t="s">
        <v>7</v>
      </c>
      <c r="E391" s="6">
        <f t="shared" si="1"/>
        <v>130</v>
      </c>
    </row>
    <row r="392" ht="15.75" customHeight="1">
      <c r="A392" s="4" t="s">
        <v>12</v>
      </c>
      <c r="B392" s="5">
        <v>8.904223819161E12</v>
      </c>
      <c r="C392" s="6">
        <f>VLOOKUP(B392,'SKU Master (X)'!$A$1:$B$66,2,FALSE)</f>
        <v>115</v>
      </c>
      <c r="D392" s="4" t="s">
        <v>7</v>
      </c>
      <c r="E392" s="6">
        <f t="shared" si="1"/>
        <v>115</v>
      </c>
    </row>
    <row r="393" ht="15.75" customHeight="1">
      <c r="A393" s="4" t="s">
        <v>12</v>
      </c>
      <c r="B393" s="5">
        <v>8.90422381926E12</v>
      </c>
      <c r="C393" s="6">
        <f>VLOOKUP(B393,'SKU Master (X)'!$A$1:$B$66,2,FALSE)</f>
        <v>130</v>
      </c>
      <c r="D393" s="4" t="s">
        <v>7</v>
      </c>
      <c r="E393" s="6">
        <f t="shared" si="1"/>
        <v>130</v>
      </c>
    </row>
    <row r="394" ht="15.75" customHeight="1">
      <c r="A394" s="4" t="s">
        <v>11</v>
      </c>
      <c r="B394" s="5">
        <v>8.904223818645E12</v>
      </c>
      <c r="C394" s="6">
        <f>VLOOKUP(B394,'SKU Master (X)'!$A$1:$B$66,2,FALSE)</f>
        <v>137</v>
      </c>
      <c r="D394" s="4" t="s">
        <v>140</v>
      </c>
      <c r="E394" s="6">
        <f t="shared" si="1"/>
        <v>822</v>
      </c>
    </row>
    <row r="395" ht="15.75" customHeight="1">
      <c r="A395" s="4" t="s">
        <v>11</v>
      </c>
      <c r="B395" s="5">
        <v>8.904223819147E12</v>
      </c>
      <c r="C395" s="6">
        <f>VLOOKUP(B395,'SKU Master (X)'!$A$1:$B$66,2,FALSE)</f>
        <v>240</v>
      </c>
      <c r="D395" s="4" t="s">
        <v>15</v>
      </c>
      <c r="E395" s="6">
        <f t="shared" si="1"/>
        <v>480</v>
      </c>
    </row>
    <row r="396" ht="15.75" customHeight="1">
      <c r="A396" s="4" t="s">
        <v>10</v>
      </c>
      <c r="B396" s="5">
        <v>8.904223818706E12</v>
      </c>
      <c r="C396" s="6">
        <f>VLOOKUP(B396,'SKU Master (X)'!$A$1:$B$66,2,FALSE)</f>
        <v>127</v>
      </c>
      <c r="D396" s="4" t="s">
        <v>7</v>
      </c>
      <c r="E396" s="6">
        <f t="shared" si="1"/>
        <v>127</v>
      </c>
    </row>
    <row r="397" ht="15.75" customHeight="1">
      <c r="A397" s="4" t="s">
        <v>10</v>
      </c>
      <c r="B397" s="5">
        <v>8.904223818942E12</v>
      </c>
      <c r="C397" s="6">
        <f>VLOOKUP(B397,'SKU Master (X)'!$A$1:$B$66,2,FALSE)</f>
        <v>133</v>
      </c>
      <c r="D397" s="4" t="s">
        <v>7</v>
      </c>
      <c r="E397" s="6">
        <f t="shared" si="1"/>
        <v>133</v>
      </c>
    </row>
    <row r="398" ht="15.75" customHeight="1">
      <c r="A398" s="4" t="s">
        <v>10</v>
      </c>
      <c r="B398" s="5">
        <v>8.90422381885E12</v>
      </c>
      <c r="C398" s="6">
        <f>VLOOKUP(B398,'SKU Master (X)'!$A$1:$B$66,2,FALSE)</f>
        <v>240</v>
      </c>
      <c r="D398" s="4" t="s">
        <v>7</v>
      </c>
      <c r="E398" s="6">
        <f t="shared" si="1"/>
        <v>240</v>
      </c>
    </row>
    <row r="399" ht="15.75" customHeight="1">
      <c r="A399" s="4" t="s">
        <v>9</v>
      </c>
      <c r="B399" s="5">
        <v>8.90422381885E12</v>
      </c>
      <c r="C399" s="6">
        <f>VLOOKUP(B399,'SKU Master (X)'!$A$1:$B$66,2,FALSE)</f>
        <v>240</v>
      </c>
      <c r="D399" s="4" t="s">
        <v>15</v>
      </c>
      <c r="E399" s="6">
        <f t="shared" si="1"/>
        <v>480</v>
      </c>
    </row>
    <row r="400" ht="15.75" customHeight="1">
      <c r="A400" s="4" t="s">
        <v>8</v>
      </c>
      <c r="B400" s="5">
        <v>8.904223816214E12</v>
      </c>
      <c r="C400" s="6">
        <f>VLOOKUP(B400,'SKU Master (X)'!$A$1:$B$66,2,FALSE)</f>
        <v>120</v>
      </c>
      <c r="D400" s="4" t="s">
        <v>7</v>
      </c>
      <c r="E400" s="6">
        <f t="shared" si="1"/>
        <v>120</v>
      </c>
    </row>
    <row r="401" ht="15.75" customHeight="1">
      <c r="A401" s="4" t="s">
        <v>8</v>
      </c>
      <c r="B401" s="5">
        <v>8.904223818874E12</v>
      </c>
      <c r="C401" s="6">
        <f>VLOOKUP(B401,'SKU Master (X)'!$A$1:$B$66,2,FALSE)</f>
        <v>100</v>
      </c>
      <c r="D401" s="4" t="s">
        <v>7</v>
      </c>
      <c r="E401" s="6">
        <f t="shared" si="1"/>
        <v>100</v>
      </c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  <row r="999" ht="15.75" customHeight="1">
      <c r="B999" s="7"/>
    </row>
    <row r="1000" ht="15.75" customHeight="1">
      <c r="B1000" s="7"/>
    </row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0.29"/>
    <col customWidth="1" min="3" max="3" width="8.71"/>
    <col customWidth="1" min="4" max="4" width="15.0"/>
    <col customWidth="1" min="5" max="5" width="20.43"/>
    <col customWidth="1" min="6" max="10" width="8.71"/>
    <col customWidth="1" min="11" max="11" width="14.86"/>
    <col customWidth="1" min="12" max="14" width="8.71"/>
    <col customWidth="1" min="15" max="15" width="15.0"/>
    <col customWidth="1" min="16" max="16" width="20.43"/>
    <col customWidth="1" min="17" max="26" width="8.71"/>
  </cols>
  <sheetData>
    <row r="1">
      <c r="A1" s="1" t="s">
        <v>1</v>
      </c>
      <c r="B1" s="1" t="s">
        <v>141</v>
      </c>
    </row>
    <row r="2">
      <c r="A2" s="4">
        <v>8.904223815682E12</v>
      </c>
      <c r="B2" s="4">
        <v>210.0</v>
      </c>
    </row>
    <row r="3">
      <c r="A3" s="4">
        <v>8.904223815804E12</v>
      </c>
      <c r="B3" s="4">
        <v>160.0</v>
      </c>
    </row>
    <row r="4">
      <c r="A4" s="4">
        <v>8.904223815859E12</v>
      </c>
      <c r="B4" s="4">
        <v>165.0</v>
      </c>
    </row>
    <row r="5">
      <c r="A5" s="4">
        <v>8.904223815866E12</v>
      </c>
      <c r="B5" s="4">
        <v>113.0</v>
      </c>
      <c r="E5" s="5"/>
    </row>
    <row r="6">
      <c r="A6" s="4">
        <v>8.904223815873E12</v>
      </c>
      <c r="B6" s="4">
        <v>65.0</v>
      </c>
    </row>
    <row r="7">
      <c r="A7" s="4">
        <v>8.904223816214E12</v>
      </c>
      <c r="B7" s="4">
        <v>120.0</v>
      </c>
    </row>
    <row r="8">
      <c r="A8" s="4">
        <v>8.904223816665E12</v>
      </c>
      <c r="B8" s="4">
        <v>102.0</v>
      </c>
    </row>
    <row r="9">
      <c r="A9" s="4">
        <v>8.904223817273E12</v>
      </c>
      <c r="B9" s="4">
        <v>65.0</v>
      </c>
    </row>
    <row r="10">
      <c r="A10" s="4">
        <v>8.904223817334E12</v>
      </c>
      <c r="B10" s="4">
        <v>170.0</v>
      </c>
    </row>
    <row r="11">
      <c r="A11" s="4">
        <v>8.904223817501E12</v>
      </c>
      <c r="B11" s="4">
        <v>350.0</v>
      </c>
    </row>
    <row r="12">
      <c r="A12" s="4">
        <v>8.90422381843E12</v>
      </c>
      <c r="B12" s="4">
        <v>165.0</v>
      </c>
    </row>
    <row r="13">
      <c r="A13" s="4">
        <v>8.904223818454E12</v>
      </c>
      <c r="B13" s="4">
        <v>232.0</v>
      </c>
    </row>
    <row r="14">
      <c r="A14" s="4">
        <v>8.904223818478E12</v>
      </c>
      <c r="B14" s="4">
        <v>350.0</v>
      </c>
    </row>
    <row r="15">
      <c r="A15" s="4">
        <v>8.904223818553E12</v>
      </c>
      <c r="B15" s="4">
        <v>115.0</v>
      </c>
    </row>
    <row r="16">
      <c r="A16" s="4">
        <v>8.904223818577E12</v>
      </c>
      <c r="B16" s="4">
        <v>150.0</v>
      </c>
    </row>
    <row r="17">
      <c r="A17" s="4">
        <v>8.904223818591E12</v>
      </c>
      <c r="B17" s="4">
        <v>120.0</v>
      </c>
    </row>
    <row r="18">
      <c r="A18" s="4">
        <v>8.904223818614E12</v>
      </c>
      <c r="B18" s="4">
        <v>65.0</v>
      </c>
    </row>
    <row r="19">
      <c r="A19" s="4">
        <v>8.904223818638E12</v>
      </c>
      <c r="B19" s="4">
        <v>137.0</v>
      </c>
    </row>
    <row r="20">
      <c r="A20" s="4">
        <v>8.904223818645E12</v>
      </c>
      <c r="B20" s="4">
        <v>137.0</v>
      </c>
    </row>
    <row r="21" ht="15.75" customHeight="1">
      <c r="A21" s="4">
        <v>8.904223818669E12</v>
      </c>
      <c r="B21" s="4">
        <v>240.0</v>
      </c>
    </row>
    <row r="22" ht="15.75" customHeight="1">
      <c r="A22" s="4">
        <v>8.904223818683E12</v>
      </c>
      <c r="B22" s="4">
        <v>121.0</v>
      </c>
    </row>
    <row r="23" ht="15.75" customHeight="1">
      <c r="A23" s="4">
        <v>8.904223818706E12</v>
      </c>
      <c r="B23" s="4">
        <v>127.0</v>
      </c>
    </row>
    <row r="24" ht="15.75" customHeight="1">
      <c r="A24" s="4">
        <v>8.904223818713E12</v>
      </c>
      <c r="B24" s="4">
        <v>120.0</v>
      </c>
    </row>
    <row r="25" ht="15.75" customHeight="1">
      <c r="A25" s="4">
        <v>8.904223818751E12</v>
      </c>
      <c r="B25" s="4">
        <v>113.0</v>
      </c>
    </row>
    <row r="26" ht="15.75" customHeight="1">
      <c r="A26" s="4">
        <v>8.90422381885E12</v>
      </c>
      <c r="B26" s="4">
        <v>240.0</v>
      </c>
    </row>
    <row r="27" ht="15.75" customHeight="1">
      <c r="A27" s="4">
        <v>8.904223818874E12</v>
      </c>
      <c r="B27" s="4">
        <v>100.0</v>
      </c>
    </row>
    <row r="28" ht="15.75" customHeight="1">
      <c r="A28" s="4">
        <v>8.904223818881E12</v>
      </c>
      <c r="B28" s="4">
        <v>140.0</v>
      </c>
    </row>
    <row r="29" ht="15.75" customHeight="1">
      <c r="A29" s="4">
        <v>8.904223818898E12</v>
      </c>
      <c r="B29" s="4">
        <v>140.0</v>
      </c>
    </row>
    <row r="30" ht="15.75" customHeight="1">
      <c r="A30" s="4">
        <v>8.904223818935E12</v>
      </c>
      <c r="B30" s="4">
        <v>120.0</v>
      </c>
    </row>
    <row r="31" ht="15.75" customHeight="1">
      <c r="A31" s="4">
        <v>8.904223818942E12</v>
      </c>
      <c r="B31" s="4">
        <v>133.0</v>
      </c>
    </row>
    <row r="32" ht="15.75" customHeight="1">
      <c r="A32" s="4">
        <v>8.90422381898E12</v>
      </c>
      <c r="B32" s="4">
        <v>110.0</v>
      </c>
    </row>
    <row r="33" ht="15.75" customHeight="1">
      <c r="A33" s="4">
        <v>8.904223818997E12</v>
      </c>
      <c r="B33" s="4">
        <v>490.0</v>
      </c>
    </row>
    <row r="34" ht="15.75" customHeight="1">
      <c r="A34" s="4">
        <v>8.904223819017E12</v>
      </c>
      <c r="B34" s="4">
        <v>115.0</v>
      </c>
    </row>
    <row r="35" ht="15.75" customHeight="1">
      <c r="A35" s="4">
        <v>8.904223819024E12</v>
      </c>
      <c r="B35" s="4">
        <v>112.0</v>
      </c>
    </row>
    <row r="36" ht="15.75" customHeight="1">
      <c r="A36" s="4">
        <v>8.904223819031E12</v>
      </c>
      <c r="B36" s="4">
        <v>112.0</v>
      </c>
    </row>
    <row r="37" ht="15.75" customHeight="1">
      <c r="A37" s="4">
        <v>8.904223819093E12</v>
      </c>
      <c r="B37" s="4">
        <v>150.0</v>
      </c>
    </row>
    <row r="38" ht="15.75" customHeight="1">
      <c r="A38" s="4">
        <v>8.904223819109E12</v>
      </c>
      <c r="B38" s="4">
        <v>100.0</v>
      </c>
    </row>
    <row r="39" ht="15.75" customHeight="1">
      <c r="A39" s="4">
        <v>8.904223819116E12</v>
      </c>
      <c r="B39" s="4">
        <v>30.0</v>
      </c>
    </row>
    <row r="40" ht="15.75" customHeight="1">
      <c r="A40" s="4">
        <v>8.904223819123E12</v>
      </c>
      <c r="B40" s="4">
        <v>250.0</v>
      </c>
    </row>
    <row r="41" ht="15.75" customHeight="1">
      <c r="A41" s="4">
        <v>8.90422381913E12</v>
      </c>
      <c r="B41" s="4">
        <v>350.0</v>
      </c>
    </row>
    <row r="42" ht="15.75" customHeight="1">
      <c r="A42" s="4">
        <v>8.904223819147E12</v>
      </c>
      <c r="B42" s="4">
        <v>240.0</v>
      </c>
    </row>
    <row r="43" ht="15.75" customHeight="1">
      <c r="A43" s="4">
        <v>8.904223819161E12</v>
      </c>
      <c r="B43" s="4">
        <v>115.0</v>
      </c>
    </row>
    <row r="44" ht="15.75" customHeight="1">
      <c r="A44" s="4">
        <v>8.904223819239E12</v>
      </c>
      <c r="B44" s="4">
        <v>290.0</v>
      </c>
    </row>
    <row r="45" ht="15.75" customHeight="1">
      <c r="A45" s="4">
        <v>8.904223819246E12</v>
      </c>
      <c r="B45" s="4">
        <v>290.0</v>
      </c>
    </row>
    <row r="46" ht="15.75" customHeight="1">
      <c r="A46" s="4">
        <v>8.904223819253E12</v>
      </c>
      <c r="B46" s="4">
        <v>290.0</v>
      </c>
    </row>
    <row r="47" ht="15.75" customHeight="1">
      <c r="A47" s="4">
        <v>8.90422381926E12</v>
      </c>
      <c r="B47" s="4">
        <v>130.0</v>
      </c>
    </row>
    <row r="48" ht="15.75" customHeight="1">
      <c r="A48" s="4">
        <v>8.904223819277E12</v>
      </c>
      <c r="B48" s="4">
        <v>350.0</v>
      </c>
    </row>
    <row r="49" ht="15.75" customHeight="1">
      <c r="A49" s="4">
        <v>8.904223819284E12</v>
      </c>
      <c r="B49" s="4">
        <v>350.0</v>
      </c>
    </row>
    <row r="50" ht="15.75" customHeight="1">
      <c r="A50" s="4">
        <v>8.904223819291E12</v>
      </c>
      <c r="B50" s="4">
        <v>112.0</v>
      </c>
    </row>
    <row r="51" ht="15.75" customHeight="1">
      <c r="A51" s="4">
        <v>8.904223819321E12</v>
      </c>
      <c r="B51" s="4">
        <v>600.0</v>
      </c>
    </row>
    <row r="52" ht="15.75" customHeight="1">
      <c r="A52" s="4">
        <v>8.904223819338E12</v>
      </c>
      <c r="B52" s="4">
        <v>600.0</v>
      </c>
    </row>
    <row r="53" ht="15.75" customHeight="1">
      <c r="A53" s="4">
        <v>8.904223819345E12</v>
      </c>
      <c r="B53" s="4">
        <v>165.0</v>
      </c>
    </row>
    <row r="54" ht="15.75" customHeight="1">
      <c r="A54" s="4">
        <v>8.904223819352E12</v>
      </c>
      <c r="B54" s="4">
        <v>165.0</v>
      </c>
    </row>
    <row r="55" ht="15.75" customHeight="1">
      <c r="A55" s="4">
        <v>8.904223819369E12</v>
      </c>
      <c r="B55" s="4">
        <v>170.0</v>
      </c>
    </row>
    <row r="56" ht="15.75" customHeight="1">
      <c r="A56" s="4">
        <v>8.904223819437E12</v>
      </c>
      <c r="B56" s="4">
        <v>552.0</v>
      </c>
    </row>
    <row r="57" ht="15.75" customHeight="1">
      <c r="A57" s="4">
        <v>8.904223819468E12</v>
      </c>
      <c r="B57" s="4">
        <v>240.0</v>
      </c>
    </row>
    <row r="58" ht="15.75" customHeight="1">
      <c r="A58" s="4">
        <v>8.904223819499E12</v>
      </c>
      <c r="B58" s="4">
        <v>210.0</v>
      </c>
    </row>
    <row r="59" ht="15.75" customHeight="1">
      <c r="A59" s="4">
        <v>8.904223819505E12</v>
      </c>
      <c r="B59" s="4">
        <v>210.0</v>
      </c>
    </row>
    <row r="60" ht="15.75" customHeight="1">
      <c r="A60" s="4">
        <v>8.904223819512E12</v>
      </c>
      <c r="B60" s="4">
        <v>210.0</v>
      </c>
    </row>
    <row r="61" ht="15.75" customHeight="1">
      <c r="A61" s="4">
        <v>8.904223819543E12</v>
      </c>
      <c r="B61" s="4">
        <v>300.0</v>
      </c>
    </row>
    <row r="62" ht="15.75" customHeight="1">
      <c r="A62" s="4" t="s">
        <v>139</v>
      </c>
      <c r="B62" s="4">
        <v>500.0</v>
      </c>
    </row>
    <row r="63" ht="15.75" customHeight="1">
      <c r="A63" s="4" t="s">
        <v>13</v>
      </c>
      <c r="B63" s="4">
        <v>500.0</v>
      </c>
    </row>
    <row r="64" ht="15.75" customHeight="1">
      <c r="A64" s="4" t="s">
        <v>123</v>
      </c>
      <c r="B64" s="4">
        <v>500.0</v>
      </c>
    </row>
    <row r="65" ht="15.75" customHeight="1">
      <c r="A65" s="4" t="s">
        <v>138</v>
      </c>
      <c r="B65" s="4">
        <v>500.0</v>
      </c>
    </row>
    <row r="66" ht="15.75" customHeight="1">
      <c r="A66" s="4" t="s">
        <v>17</v>
      </c>
      <c r="B66" s="4">
        <v>10.0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7.43"/>
    <col customWidth="1" min="3" max="3" width="8.71"/>
    <col customWidth="1" min="4" max="4" width="15.14"/>
    <col customWidth="1" min="5" max="5" width="8.71"/>
    <col customWidth="1" min="6" max="6" width="18.14"/>
    <col customWidth="1" min="7" max="7" width="16.57"/>
    <col customWidth="1" min="8" max="8" width="5.29"/>
    <col customWidth="1" min="9" max="9" width="8.71"/>
    <col customWidth="1" min="10" max="10" width="15.43"/>
    <col customWidth="1" min="11" max="26" width="8.71"/>
  </cols>
  <sheetData>
    <row r="1">
      <c r="A1" s="1" t="s">
        <v>142</v>
      </c>
      <c r="B1" s="1" t="s">
        <v>143</v>
      </c>
      <c r="C1" s="1" t="s">
        <v>144</v>
      </c>
      <c r="F1" s="8" t="str">
        <f>IFERROR(__xludf.DUMMYFUNCTION("UNIQUE(A1:C125)"),"Warehouse Pincode")</f>
        <v>Warehouse Pincode</v>
      </c>
      <c r="G1" s="8" t="str">
        <f>IFERROR(__xludf.DUMMYFUNCTION("""COMPUTED_VALUE"""),"Customer Pincode")</f>
        <v>Customer Pincode</v>
      </c>
      <c r="H1" s="8" t="str">
        <f>IFERROR(__xludf.DUMMYFUNCTION("""COMPUTED_VALUE"""),"Zone")</f>
        <v>Zone</v>
      </c>
      <c r="J1" s="9" t="s">
        <v>145</v>
      </c>
      <c r="K1" s="9" t="s">
        <v>146</v>
      </c>
    </row>
    <row r="2">
      <c r="A2" s="4">
        <v>121003.0</v>
      </c>
      <c r="B2" s="10">
        <v>140301.0</v>
      </c>
      <c r="C2" s="4" t="s">
        <v>147</v>
      </c>
      <c r="F2" s="11">
        <f>IFERROR(__xludf.DUMMYFUNCTION("""COMPUTED_VALUE"""),121003.0)</f>
        <v>121003</v>
      </c>
      <c r="G2" s="12">
        <f>IFERROR(__xludf.DUMMYFUNCTION("""COMPUTED_VALUE"""),140301.0)</f>
        <v>140301</v>
      </c>
      <c r="H2" s="13" t="str">
        <f>IFERROR(__xludf.DUMMYFUNCTION("""COMPUTED_VALUE"""),"b")</f>
        <v>b</v>
      </c>
      <c r="J2" s="14" t="str">
        <f t="shared" ref="J2:J125" si="1">VLOOKUP(B2,$G$1:$H$109,2,0)</f>
        <v>b</v>
      </c>
      <c r="K2" s="4" t="str">
        <f t="shared" ref="K2:K125" si="2">if(C2=J2,"same","not same")</f>
        <v>same</v>
      </c>
    </row>
    <row r="3">
      <c r="A3" s="4">
        <v>121003.0</v>
      </c>
      <c r="B3" s="10">
        <v>140301.0</v>
      </c>
      <c r="C3" s="4" t="s">
        <v>147</v>
      </c>
      <c r="F3" s="11">
        <f>IFERROR(__xludf.DUMMYFUNCTION("""COMPUTED_VALUE"""),121003.0)</f>
        <v>121003</v>
      </c>
      <c r="G3" s="12">
        <f>IFERROR(__xludf.DUMMYFUNCTION("""COMPUTED_VALUE"""),140604.0)</f>
        <v>140604</v>
      </c>
      <c r="H3" s="13" t="str">
        <f>IFERROR(__xludf.DUMMYFUNCTION("""COMPUTED_VALUE"""),"b")</f>
        <v>b</v>
      </c>
      <c r="J3" s="14" t="str">
        <f t="shared" si="1"/>
        <v>b</v>
      </c>
      <c r="K3" s="4" t="str">
        <f t="shared" si="2"/>
        <v>same</v>
      </c>
    </row>
    <row r="4">
      <c r="A4" s="4">
        <v>121003.0</v>
      </c>
      <c r="B4" s="10">
        <v>140604.0</v>
      </c>
      <c r="C4" s="4" t="s">
        <v>147</v>
      </c>
      <c r="F4" s="11">
        <f>IFERROR(__xludf.DUMMYFUNCTION("""COMPUTED_VALUE"""),121003.0)</f>
        <v>121003</v>
      </c>
      <c r="G4" s="12">
        <f>IFERROR(__xludf.DUMMYFUNCTION("""COMPUTED_VALUE"""),143001.0)</f>
        <v>143001</v>
      </c>
      <c r="H4" s="13" t="str">
        <f>IFERROR(__xludf.DUMMYFUNCTION("""COMPUTED_VALUE"""),"b")</f>
        <v>b</v>
      </c>
      <c r="J4" s="14" t="str">
        <f t="shared" si="1"/>
        <v>b</v>
      </c>
      <c r="K4" s="4" t="str">
        <f t="shared" si="2"/>
        <v>same</v>
      </c>
    </row>
    <row r="5">
      <c r="A5" s="4">
        <v>121003.0</v>
      </c>
      <c r="B5" s="10">
        <v>143001.0</v>
      </c>
      <c r="C5" s="4" t="s">
        <v>147</v>
      </c>
      <c r="F5" s="11">
        <f>IFERROR(__xludf.DUMMYFUNCTION("""COMPUTED_VALUE"""),121003.0)</f>
        <v>121003</v>
      </c>
      <c r="G5" s="12">
        <f>IFERROR(__xludf.DUMMYFUNCTION("""COMPUTED_VALUE"""),144001.0)</f>
        <v>144001</v>
      </c>
      <c r="H5" s="13" t="str">
        <f>IFERROR(__xludf.DUMMYFUNCTION("""COMPUTED_VALUE"""),"b")</f>
        <v>b</v>
      </c>
      <c r="J5" s="14" t="str">
        <f t="shared" si="1"/>
        <v>b</v>
      </c>
      <c r="K5" s="4" t="str">
        <f t="shared" si="2"/>
        <v>same</v>
      </c>
    </row>
    <row r="6">
      <c r="A6" s="4">
        <v>121003.0</v>
      </c>
      <c r="B6" s="10">
        <v>144001.0</v>
      </c>
      <c r="C6" s="4" t="s">
        <v>147</v>
      </c>
      <c r="F6" s="11">
        <f>IFERROR(__xludf.DUMMYFUNCTION("""COMPUTED_VALUE"""),121003.0)</f>
        <v>121003</v>
      </c>
      <c r="G6" s="12">
        <f>IFERROR(__xludf.DUMMYFUNCTION("""COMPUTED_VALUE"""),173212.0)</f>
        <v>173212</v>
      </c>
      <c r="H6" s="13" t="str">
        <f>IFERROR(__xludf.DUMMYFUNCTION("""COMPUTED_VALUE"""),"e")</f>
        <v>e</v>
      </c>
      <c r="J6" s="14" t="str">
        <f t="shared" si="1"/>
        <v>b</v>
      </c>
      <c r="K6" s="4" t="str">
        <f t="shared" si="2"/>
        <v>same</v>
      </c>
    </row>
    <row r="7">
      <c r="A7" s="4">
        <v>121003.0</v>
      </c>
      <c r="B7" s="10">
        <v>173212.0</v>
      </c>
      <c r="C7" s="4" t="s">
        <v>148</v>
      </c>
      <c r="F7" s="11">
        <f>IFERROR(__xludf.DUMMYFUNCTION("""COMPUTED_VALUE"""),121003.0)</f>
        <v>121003</v>
      </c>
      <c r="G7" s="12">
        <f>IFERROR(__xludf.DUMMYFUNCTION("""COMPUTED_VALUE"""),173213.0)</f>
        <v>173213</v>
      </c>
      <c r="H7" s="13" t="str">
        <f>IFERROR(__xludf.DUMMYFUNCTION("""COMPUTED_VALUE"""),"e")</f>
        <v>e</v>
      </c>
      <c r="J7" s="14" t="str">
        <f t="shared" si="1"/>
        <v>e</v>
      </c>
      <c r="K7" s="4" t="str">
        <f t="shared" si="2"/>
        <v>same</v>
      </c>
    </row>
    <row r="8">
      <c r="A8" s="4">
        <v>121003.0</v>
      </c>
      <c r="B8" s="10">
        <v>173212.0</v>
      </c>
      <c r="C8" s="4" t="s">
        <v>148</v>
      </c>
      <c r="F8" s="11">
        <f>IFERROR(__xludf.DUMMYFUNCTION("""COMPUTED_VALUE"""),121003.0)</f>
        <v>121003</v>
      </c>
      <c r="G8" s="12">
        <f>IFERROR(__xludf.DUMMYFUNCTION("""COMPUTED_VALUE"""),174101.0)</f>
        <v>174101</v>
      </c>
      <c r="H8" s="13" t="str">
        <f>IFERROR(__xludf.DUMMYFUNCTION("""COMPUTED_VALUE"""),"e")</f>
        <v>e</v>
      </c>
      <c r="J8" s="14" t="str">
        <f t="shared" si="1"/>
        <v>e</v>
      </c>
      <c r="K8" s="4" t="str">
        <f t="shared" si="2"/>
        <v>same</v>
      </c>
    </row>
    <row r="9">
      <c r="A9" s="4">
        <v>121003.0</v>
      </c>
      <c r="B9" s="10">
        <v>173213.0</v>
      </c>
      <c r="C9" s="4" t="s">
        <v>148</v>
      </c>
      <c r="F9" s="11">
        <f>IFERROR(__xludf.DUMMYFUNCTION("""COMPUTED_VALUE"""),121003.0)</f>
        <v>121003</v>
      </c>
      <c r="G9" s="12">
        <f>IFERROR(__xludf.DUMMYFUNCTION("""COMPUTED_VALUE"""),175101.0)</f>
        <v>175101</v>
      </c>
      <c r="H9" s="13" t="str">
        <f>IFERROR(__xludf.DUMMYFUNCTION("""COMPUTED_VALUE"""),"e")</f>
        <v>e</v>
      </c>
      <c r="J9" s="14" t="str">
        <f t="shared" si="1"/>
        <v>e</v>
      </c>
      <c r="K9" s="4" t="str">
        <f t="shared" si="2"/>
        <v>same</v>
      </c>
    </row>
    <row r="10">
      <c r="A10" s="4">
        <v>121003.0</v>
      </c>
      <c r="B10" s="10">
        <v>174101.0</v>
      </c>
      <c r="C10" s="4" t="s">
        <v>148</v>
      </c>
      <c r="F10" s="11">
        <f>IFERROR(__xludf.DUMMYFUNCTION("""COMPUTED_VALUE"""),121003.0)</f>
        <v>121003</v>
      </c>
      <c r="G10" s="12">
        <f>IFERROR(__xludf.DUMMYFUNCTION("""COMPUTED_VALUE"""),208001.0)</f>
        <v>208001</v>
      </c>
      <c r="H10" s="13" t="str">
        <f>IFERROR(__xludf.DUMMYFUNCTION("""COMPUTED_VALUE"""),"b")</f>
        <v>b</v>
      </c>
      <c r="J10" s="14" t="str">
        <f t="shared" si="1"/>
        <v>e</v>
      </c>
      <c r="K10" s="4" t="str">
        <f t="shared" si="2"/>
        <v>same</v>
      </c>
    </row>
    <row r="11">
      <c r="A11" s="4">
        <v>121003.0</v>
      </c>
      <c r="B11" s="10">
        <v>175101.0</v>
      </c>
      <c r="C11" s="4" t="s">
        <v>148</v>
      </c>
      <c r="F11" s="11">
        <f>IFERROR(__xludf.DUMMYFUNCTION("""COMPUTED_VALUE"""),121003.0)</f>
        <v>121003</v>
      </c>
      <c r="G11" s="12">
        <f>IFERROR(__xludf.DUMMYFUNCTION("""COMPUTED_VALUE"""),208002.0)</f>
        <v>208002</v>
      </c>
      <c r="H11" s="13" t="str">
        <f>IFERROR(__xludf.DUMMYFUNCTION("""COMPUTED_VALUE"""),"b")</f>
        <v>b</v>
      </c>
      <c r="J11" s="14" t="str">
        <f t="shared" si="1"/>
        <v>e</v>
      </c>
      <c r="K11" s="4" t="str">
        <f t="shared" si="2"/>
        <v>same</v>
      </c>
    </row>
    <row r="12">
      <c r="A12" s="4">
        <v>121003.0</v>
      </c>
      <c r="B12" s="10">
        <v>208001.0</v>
      </c>
      <c r="C12" s="4" t="s">
        <v>147</v>
      </c>
      <c r="F12" s="11">
        <f>IFERROR(__xludf.DUMMYFUNCTION("""COMPUTED_VALUE"""),121003.0)</f>
        <v>121003</v>
      </c>
      <c r="G12" s="12">
        <f>IFERROR(__xludf.DUMMYFUNCTION("""COMPUTED_VALUE"""),208019.0)</f>
        <v>208019</v>
      </c>
      <c r="H12" s="13" t="str">
        <f>IFERROR(__xludf.DUMMYFUNCTION("""COMPUTED_VALUE"""),"b")</f>
        <v>b</v>
      </c>
      <c r="J12" s="14" t="str">
        <f t="shared" si="1"/>
        <v>b</v>
      </c>
      <c r="K12" s="4" t="str">
        <f t="shared" si="2"/>
        <v>same</v>
      </c>
    </row>
    <row r="13">
      <c r="A13" s="4">
        <v>121003.0</v>
      </c>
      <c r="B13" s="10">
        <v>208002.0</v>
      </c>
      <c r="C13" s="4" t="s">
        <v>147</v>
      </c>
      <c r="F13" s="11">
        <f>IFERROR(__xludf.DUMMYFUNCTION("""COMPUTED_VALUE"""),121003.0)</f>
        <v>121003</v>
      </c>
      <c r="G13" s="12">
        <f>IFERROR(__xludf.DUMMYFUNCTION("""COMPUTED_VALUE"""),226004.0)</f>
        <v>226004</v>
      </c>
      <c r="H13" s="13" t="str">
        <f>IFERROR(__xludf.DUMMYFUNCTION("""COMPUTED_VALUE"""),"b")</f>
        <v>b</v>
      </c>
      <c r="J13" s="14" t="str">
        <f t="shared" si="1"/>
        <v>b</v>
      </c>
      <c r="K13" s="4" t="str">
        <f t="shared" si="2"/>
        <v>same</v>
      </c>
    </row>
    <row r="14">
      <c r="A14" s="4">
        <v>121003.0</v>
      </c>
      <c r="B14" s="10">
        <v>208019.0</v>
      </c>
      <c r="C14" s="4" t="s">
        <v>147</v>
      </c>
      <c r="F14" s="11">
        <f>IFERROR(__xludf.DUMMYFUNCTION("""COMPUTED_VALUE"""),121003.0)</f>
        <v>121003</v>
      </c>
      <c r="G14" s="12">
        <f>IFERROR(__xludf.DUMMYFUNCTION("""COMPUTED_VALUE"""),226010.0)</f>
        <v>226010</v>
      </c>
      <c r="H14" s="13" t="str">
        <f>IFERROR(__xludf.DUMMYFUNCTION("""COMPUTED_VALUE"""),"b")</f>
        <v>b</v>
      </c>
      <c r="J14" s="14" t="str">
        <f t="shared" si="1"/>
        <v>b</v>
      </c>
      <c r="K14" s="4" t="str">
        <f t="shared" si="2"/>
        <v>same</v>
      </c>
    </row>
    <row r="15">
      <c r="A15" s="4">
        <v>121003.0</v>
      </c>
      <c r="B15" s="10">
        <v>226004.0</v>
      </c>
      <c r="C15" s="4" t="s">
        <v>147</v>
      </c>
      <c r="F15" s="11">
        <f>IFERROR(__xludf.DUMMYFUNCTION("""COMPUTED_VALUE"""),121003.0)</f>
        <v>121003</v>
      </c>
      <c r="G15" s="12">
        <f>IFERROR(__xludf.DUMMYFUNCTION("""COMPUTED_VALUE"""),244001.0)</f>
        <v>244001</v>
      </c>
      <c r="H15" s="13" t="str">
        <f>IFERROR(__xludf.DUMMYFUNCTION("""COMPUTED_VALUE"""),"b")</f>
        <v>b</v>
      </c>
      <c r="J15" s="14" t="str">
        <f t="shared" si="1"/>
        <v>b</v>
      </c>
      <c r="K15" s="4" t="str">
        <f t="shared" si="2"/>
        <v>same</v>
      </c>
    </row>
    <row r="16">
      <c r="A16" s="4">
        <v>121003.0</v>
      </c>
      <c r="B16" s="10">
        <v>226010.0</v>
      </c>
      <c r="C16" s="4" t="s">
        <v>147</v>
      </c>
      <c r="F16" s="11">
        <f>IFERROR(__xludf.DUMMYFUNCTION("""COMPUTED_VALUE"""),121003.0)</f>
        <v>121003</v>
      </c>
      <c r="G16" s="12">
        <f>IFERROR(__xludf.DUMMYFUNCTION("""COMPUTED_VALUE"""),244713.0)</f>
        <v>244713</v>
      </c>
      <c r="H16" s="13" t="str">
        <f>IFERROR(__xludf.DUMMYFUNCTION("""COMPUTED_VALUE"""),"b")</f>
        <v>b</v>
      </c>
      <c r="J16" s="14" t="str">
        <f t="shared" si="1"/>
        <v>b</v>
      </c>
      <c r="K16" s="4" t="str">
        <f t="shared" si="2"/>
        <v>same</v>
      </c>
    </row>
    <row r="17">
      <c r="A17" s="4">
        <v>121003.0</v>
      </c>
      <c r="B17" s="10">
        <v>244001.0</v>
      </c>
      <c r="C17" s="4" t="s">
        <v>147</v>
      </c>
      <c r="F17" s="11">
        <f>IFERROR(__xludf.DUMMYFUNCTION("""COMPUTED_VALUE"""),121003.0)</f>
        <v>121003</v>
      </c>
      <c r="G17" s="12">
        <f>IFERROR(__xludf.DUMMYFUNCTION("""COMPUTED_VALUE"""),248001.0)</f>
        <v>248001</v>
      </c>
      <c r="H17" s="13" t="str">
        <f>IFERROR(__xludf.DUMMYFUNCTION("""COMPUTED_VALUE"""),"b")</f>
        <v>b</v>
      </c>
      <c r="J17" s="14" t="str">
        <f t="shared" si="1"/>
        <v>b</v>
      </c>
      <c r="K17" s="4" t="str">
        <f t="shared" si="2"/>
        <v>same</v>
      </c>
    </row>
    <row r="18">
      <c r="A18" s="4">
        <v>121003.0</v>
      </c>
      <c r="B18" s="10">
        <v>244713.0</v>
      </c>
      <c r="C18" s="4" t="s">
        <v>147</v>
      </c>
      <c r="F18" s="11">
        <f>IFERROR(__xludf.DUMMYFUNCTION("""COMPUTED_VALUE"""),121003.0)</f>
        <v>121003</v>
      </c>
      <c r="G18" s="12">
        <f>IFERROR(__xludf.DUMMYFUNCTION("""COMPUTED_VALUE"""),248006.0)</f>
        <v>248006</v>
      </c>
      <c r="H18" s="13" t="str">
        <f>IFERROR(__xludf.DUMMYFUNCTION("""COMPUTED_VALUE"""),"b")</f>
        <v>b</v>
      </c>
      <c r="J18" s="14" t="str">
        <f t="shared" si="1"/>
        <v>b</v>
      </c>
      <c r="K18" s="4" t="str">
        <f t="shared" si="2"/>
        <v>same</v>
      </c>
    </row>
    <row r="19">
      <c r="A19" s="4">
        <v>121003.0</v>
      </c>
      <c r="B19" s="10">
        <v>248001.0</v>
      </c>
      <c r="C19" s="4" t="s">
        <v>147</v>
      </c>
      <c r="F19" s="11">
        <f>IFERROR(__xludf.DUMMYFUNCTION("""COMPUTED_VALUE"""),121003.0)</f>
        <v>121003</v>
      </c>
      <c r="G19" s="12">
        <f>IFERROR(__xludf.DUMMYFUNCTION("""COMPUTED_VALUE"""),262405.0)</f>
        <v>262405</v>
      </c>
      <c r="H19" s="13" t="str">
        <f>IFERROR(__xludf.DUMMYFUNCTION("""COMPUTED_VALUE"""),"b")</f>
        <v>b</v>
      </c>
      <c r="J19" s="14" t="str">
        <f t="shared" si="1"/>
        <v>b</v>
      </c>
      <c r="K19" s="4" t="str">
        <f t="shared" si="2"/>
        <v>same</v>
      </c>
    </row>
    <row r="20">
      <c r="A20" s="4">
        <v>121003.0</v>
      </c>
      <c r="B20" s="10">
        <v>248001.0</v>
      </c>
      <c r="C20" s="4" t="s">
        <v>147</v>
      </c>
      <c r="F20" s="11">
        <f>IFERROR(__xludf.DUMMYFUNCTION("""COMPUTED_VALUE"""),121003.0)</f>
        <v>121003</v>
      </c>
      <c r="G20" s="12">
        <f>IFERROR(__xludf.DUMMYFUNCTION("""COMPUTED_VALUE"""),263139.0)</f>
        <v>263139</v>
      </c>
      <c r="H20" s="13" t="str">
        <f>IFERROR(__xludf.DUMMYFUNCTION("""COMPUTED_VALUE"""),"b")</f>
        <v>b</v>
      </c>
      <c r="J20" s="14" t="str">
        <f t="shared" si="1"/>
        <v>b</v>
      </c>
      <c r="K20" s="4" t="str">
        <f t="shared" si="2"/>
        <v>same</v>
      </c>
    </row>
    <row r="21" ht="15.75" customHeight="1">
      <c r="A21" s="4">
        <v>121003.0</v>
      </c>
      <c r="B21" s="10">
        <v>248006.0</v>
      </c>
      <c r="C21" s="4" t="s">
        <v>147</v>
      </c>
      <c r="F21" s="11">
        <f>IFERROR(__xludf.DUMMYFUNCTION("""COMPUTED_VALUE"""),121003.0)</f>
        <v>121003</v>
      </c>
      <c r="G21" s="12">
        <f>IFERROR(__xludf.DUMMYFUNCTION("""COMPUTED_VALUE"""),283102.0)</f>
        <v>283102</v>
      </c>
      <c r="H21" s="13" t="str">
        <f>IFERROR(__xludf.DUMMYFUNCTION("""COMPUTED_VALUE"""),"b")</f>
        <v>b</v>
      </c>
      <c r="J21" s="14" t="str">
        <f t="shared" si="1"/>
        <v>b</v>
      </c>
      <c r="K21" s="4" t="str">
        <f t="shared" si="2"/>
        <v>same</v>
      </c>
    </row>
    <row r="22" ht="15.75" customHeight="1">
      <c r="A22" s="4">
        <v>121003.0</v>
      </c>
      <c r="B22" s="10">
        <v>262405.0</v>
      </c>
      <c r="C22" s="4" t="s">
        <v>147</v>
      </c>
      <c r="F22" s="11">
        <f>IFERROR(__xludf.DUMMYFUNCTION("""COMPUTED_VALUE"""),121003.0)</f>
        <v>121003</v>
      </c>
      <c r="G22" s="12">
        <f>IFERROR(__xludf.DUMMYFUNCTION("""COMPUTED_VALUE"""),284001.0)</f>
        <v>284001</v>
      </c>
      <c r="H22" s="13" t="str">
        <f>IFERROR(__xludf.DUMMYFUNCTION("""COMPUTED_VALUE"""),"b")</f>
        <v>b</v>
      </c>
      <c r="J22" s="14" t="str">
        <f t="shared" si="1"/>
        <v>b</v>
      </c>
      <c r="K22" s="4" t="str">
        <f t="shared" si="2"/>
        <v>same</v>
      </c>
    </row>
    <row r="23" ht="15.75" customHeight="1">
      <c r="A23" s="4">
        <v>121003.0</v>
      </c>
      <c r="B23" s="10">
        <v>263139.0</v>
      </c>
      <c r="C23" s="4" t="s">
        <v>147</v>
      </c>
      <c r="F23" s="11">
        <f>IFERROR(__xludf.DUMMYFUNCTION("""COMPUTED_VALUE"""),121003.0)</f>
        <v>121003</v>
      </c>
      <c r="G23" s="12">
        <f>IFERROR(__xludf.DUMMYFUNCTION("""COMPUTED_VALUE"""),302001.0)</f>
        <v>302001</v>
      </c>
      <c r="H23" s="13" t="str">
        <f>IFERROR(__xludf.DUMMYFUNCTION("""COMPUTED_VALUE"""),"b")</f>
        <v>b</v>
      </c>
      <c r="J23" s="14" t="str">
        <f t="shared" si="1"/>
        <v>b</v>
      </c>
      <c r="K23" s="4" t="str">
        <f t="shared" si="2"/>
        <v>same</v>
      </c>
    </row>
    <row r="24" ht="15.75" customHeight="1">
      <c r="A24" s="4">
        <v>121003.0</v>
      </c>
      <c r="B24" s="10">
        <v>283102.0</v>
      </c>
      <c r="C24" s="4" t="s">
        <v>147</v>
      </c>
      <c r="F24" s="11">
        <f>IFERROR(__xludf.DUMMYFUNCTION("""COMPUTED_VALUE"""),121003.0)</f>
        <v>121003</v>
      </c>
      <c r="G24" s="12">
        <f>IFERROR(__xludf.DUMMYFUNCTION("""COMPUTED_VALUE"""),302002.0)</f>
        <v>302002</v>
      </c>
      <c r="H24" s="13" t="str">
        <f>IFERROR(__xludf.DUMMYFUNCTION("""COMPUTED_VALUE"""),"b")</f>
        <v>b</v>
      </c>
      <c r="J24" s="14" t="str">
        <f t="shared" si="1"/>
        <v>b</v>
      </c>
      <c r="K24" s="4" t="str">
        <f t="shared" si="2"/>
        <v>same</v>
      </c>
    </row>
    <row r="25" ht="15.75" customHeight="1">
      <c r="A25" s="4">
        <v>121003.0</v>
      </c>
      <c r="B25" s="10">
        <v>284001.0</v>
      </c>
      <c r="C25" s="4" t="s">
        <v>147</v>
      </c>
      <c r="F25" s="11">
        <f>IFERROR(__xludf.DUMMYFUNCTION("""COMPUTED_VALUE"""),121003.0)</f>
        <v>121003</v>
      </c>
      <c r="G25" s="12">
        <f>IFERROR(__xludf.DUMMYFUNCTION("""COMPUTED_VALUE"""),302004.0)</f>
        <v>302004</v>
      </c>
      <c r="H25" s="13" t="str">
        <f>IFERROR(__xludf.DUMMYFUNCTION("""COMPUTED_VALUE"""),"b")</f>
        <v>b</v>
      </c>
      <c r="J25" s="14" t="str">
        <f t="shared" si="1"/>
        <v>b</v>
      </c>
      <c r="K25" s="4" t="str">
        <f t="shared" si="2"/>
        <v>same</v>
      </c>
    </row>
    <row r="26" ht="15.75" customHeight="1">
      <c r="A26" s="4">
        <v>121003.0</v>
      </c>
      <c r="B26" s="10">
        <v>302001.0</v>
      </c>
      <c r="C26" s="4" t="s">
        <v>147</v>
      </c>
      <c r="F26" s="11">
        <f>IFERROR(__xludf.DUMMYFUNCTION("""COMPUTED_VALUE"""),121003.0)</f>
        <v>121003</v>
      </c>
      <c r="G26" s="12">
        <f>IFERROR(__xludf.DUMMYFUNCTION("""COMPUTED_VALUE"""),302012.0)</f>
        <v>302012</v>
      </c>
      <c r="H26" s="13" t="str">
        <f>IFERROR(__xludf.DUMMYFUNCTION("""COMPUTED_VALUE"""),"b")</f>
        <v>b</v>
      </c>
      <c r="J26" s="14" t="str">
        <f t="shared" si="1"/>
        <v>b</v>
      </c>
      <c r="K26" s="4" t="str">
        <f t="shared" si="2"/>
        <v>same</v>
      </c>
    </row>
    <row r="27" ht="15.75" customHeight="1">
      <c r="A27" s="4">
        <v>121003.0</v>
      </c>
      <c r="B27" s="10">
        <v>302002.0</v>
      </c>
      <c r="C27" s="4" t="s">
        <v>147</v>
      </c>
      <c r="F27" s="11">
        <f>IFERROR(__xludf.DUMMYFUNCTION("""COMPUTED_VALUE"""),121003.0)</f>
        <v>121003</v>
      </c>
      <c r="G27" s="12">
        <f>IFERROR(__xludf.DUMMYFUNCTION("""COMPUTED_VALUE"""),302017.0)</f>
        <v>302017</v>
      </c>
      <c r="H27" s="13" t="str">
        <f>IFERROR(__xludf.DUMMYFUNCTION("""COMPUTED_VALUE"""),"b")</f>
        <v>b</v>
      </c>
      <c r="J27" s="14" t="str">
        <f t="shared" si="1"/>
        <v>b</v>
      </c>
      <c r="K27" s="4" t="str">
        <f t="shared" si="2"/>
        <v>same</v>
      </c>
    </row>
    <row r="28" ht="15.75" customHeight="1">
      <c r="A28" s="4">
        <v>121003.0</v>
      </c>
      <c r="B28" s="10">
        <v>302002.0</v>
      </c>
      <c r="C28" s="4" t="s">
        <v>147</v>
      </c>
      <c r="F28" s="11">
        <f>IFERROR(__xludf.DUMMYFUNCTION("""COMPUTED_VALUE"""),121003.0)</f>
        <v>121003</v>
      </c>
      <c r="G28" s="12">
        <f>IFERROR(__xludf.DUMMYFUNCTION("""COMPUTED_VALUE"""),302018.0)</f>
        <v>302018</v>
      </c>
      <c r="H28" s="13" t="str">
        <f>IFERROR(__xludf.DUMMYFUNCTION("""COMPUTED_VALUE"""),"b")</f>
        <v>b</v>
      </c>
      <c r="J28" s="14" t="str">
        <f t="shared" si="1"/>
        <v>b</v>
      </c>
      <c r="K28" s="4" t="str">
        <f t="shared" si="2"/>
        <v>same</v>
      </c>
    </row>
    <row r="29" ht="15.75" customHeight="1">
      <c r="A29" s="4">
        <v>121003.0</v>
      </c>
      <c r="B29" s="10">
        <v>302004.0</v>
      </c>
      <c r="C29" s="4" t="s">
        <v>147</v>
      </c>
      <c r="F29" s="11">
        <f>IFERROR(__xludf.DUMMYFUNCTION("""COMPUTED_VALUE"""),121003.0)</f>
        <v>121003</v>
      </c>
      <c r="G29" s="12">
        <f>IFERROR(__xludf.DUMMYFUNCTION("""COMPUTED_VALUE"""),302019.0)</f>
        <v>302019</v>
      </c>
      <c r="H29" s="13" t="str">
        <f>IFERROR(__xludf.DUMMYFUNCTION("""COMPUTED_VALUE"""),"b")</f>
        <v>b</v>
      </c>
      <c r="J29" s="14" t="str">
        <f t="shared" si="1"/>
        <v>b</v>
      </c>
      <c r="K29" s="4" t="str">
        <f t="shared" si="2"/>
        <v>same</v>
      </c>
    </row>
    <row r="30" ht="15.75" customHeight="1">
      <c r="A30" s="4">
        <v>121003.0</v>
      </c>
      <c r="B30" s="10">
        <v>302012.0</v>
      </c>
      <c r="C30" s="4" t="s">
        <v>147</v>
      </c>
      <c r="F30" s="11">
        <f>IFERROR(__xludf.DUMMYFUNCTION("""COMPUTED_VALUE"""),121003.0)</f>
        <v>121003</v>
      </c>
      <c r="G30" s="12">
        <f>IFERROR(__xludf.DUMMYFUNCTION("""COMPUTED_VALUE"""),302020.0)</f>
        <v>302020</v>
      </c>
      <c r="H30" s="13" t="str">
        <f>IFERROR(__xludf.DUMMYFUNCTION("""COMPUTED_VALUE"""),"b")</f>
        <v>b</v>
      </c>
      <c r="J30" s="14" t="str">
        <f t="shared" si="1"/>
        <v>b</v>
      </c>
      <c r="K30" s="4" t="str">
        <f t="shared" si="2"/>
        <v>same</v>
      </c>
    </row>
    <row r="31" ht="15.75" customHeight="1">
      <c r="A31" s="4">
        <v>121003.0</v>
      </c>
      <c r="B31" s="10">
        <v>302012.0</v>
      </c>
      <c r="C31" s="4" t="s">
        <v>147</v>
      </c>
      <c r="F31" s="11">
        <f>IFERROR(__xludf.DUMMYFUNCTION("""COMPUTED_VALUE"""),121003.0)</f>
        <v>121003</v>
      </c>
      <c r="G31" s="12">
        <f>IFERROR(__xludf.DUMMYFUNCTION("""COMPUTED_VALUE"""),302031.0)</f>
        <v>302031</v>
      </c>
      <c r="H31" s="13" t="str">
        <f>IFERROR(__xludf.DUMMYFUNCTION("""COMPUTED_VALUE"""),"b")</f>
        <v>b</v>
      </c>
      <c r="J31" s="14" t="str">
        <f t="shared" si="1"/>
        <v>b</v>
      </c>
      <c r="K31" s="4" t="str">
        <f t="shared" si="2"/>
        <v>same</v>
      </c>
    </row>
    <row r="32" ht="15.75" customHeight="1">
      <c r="A32" s="4">
        <v>121003.0</v>
      </c>
      <c r="B32" s="10">
        <v>302017.0</v>
      </c>
      <c r="C32" s="4" t="s">
        <v>147</v>
      </c>
      <c r="F32" s="11">
        <f>IFERROR(__xludf.DUMMYFUNCTION("""COMPUTED_VALUE"""),121003.0)</f>
        <v>121003</v>
      </c>
      <c r="G32" s="12">
        <f>IFERROR(__xludf.DUMMYFUNCTION("""COMPUTED_VALUE"""),302039.0)</f>
        <v>302039</v>
      </c>
      <c r="H32" s="13" t="str">
        <f>IFERROR(__xludf.DUMMYFUNCTION("""COMPUTED_VALUE"""),"b")</f>
        <v>b</v>
      </c>
      <c r="J32" s="14" t="str">
        <f t="shared" si="1"/>
        <v>b</v>
      </c>
      <c r="K32" s="4" t="str">
        <f t="shared" si="2"/>
        <v>same</v>
      </c>
    </row>
    <row r="33" ht="15.75" customHeight="1">
      <c r="A33" s="4">
        <v>121003.0</v>
      </c>
      <c r="B33" s="10">
        <v>302017.0</v>
      </c>
      <c r="C33" s="4" t="s">
        <v>147</v>
      </c>
      <c r="F33" s="11">
        <f>IFERROR(__xludf.DUMMYFUNCTION("""COMPUTED_VALUE"""),121003.0)</f>
        <v>121003</v>
      </c>
      <c r="G33" s="12">
        <f>IFERROR(__xludf.DUMMYFUNCTION("""COMPUTED_VALUE"""),303702.0)</f>
        <v>303702</v>
      </c>
      <c r="H33" s="13" t="str">
        <f>IFERROR(__xludf.DUMMYFUNCTION("""COMPUTED_VALUE"""),"b")</f>
        <v>b</v>
      </c>
      <c r="J33" s="14" t="str">
        <f t="shared" si="1"/>
        <v>b</v>
      </c>
      <c r="K33" s="4" t="str">
        <f t="shared" si="2"/>
        <v>same</v>
      </c>
    </row>
    <row r="34" ht="15.75" customHeight="1">
      <c r="A34" s="4">
        <v>121003.0</v>
      </c>
      <c r="B34" s="10">
        <v>302017.0</v>
      </c>
      <c r="C34" s="4" t="s">
        <v>147</v>
      </c>
      <c r="F34" s="11">
        <f>IFERROR(__xludf.DUMMYFUNCTION("""COMPUTED_VALUE"""),121003.0)</f>
        <v>121003</v>
      </c>
      <c r="G34" s="12">
        <f>IFERROR(__xludf.DUMMYFUNCTION("""COMPUTED_VALUE"""),303903.0)</f>
        <v>303903</v>
      </c>
      <c r="H34" s="13" t="str">
        <f>IFERROR(__xludf.DUMMYFUNCTION("""COMPUTED_VALUE"""),"b")</f>
        <v>b</v>
      </c>
      <c r="J34" s="14" t="str">
        <f t="shared" si="1"/>
        <v>b</v>
      </c>
      <c r="K34" s="4" t="str">
        <f t="shared" si="2"/>
        <v>same</v>
      </c>
    </row>
    <row r="35" ht="15.75" customHeight="1">
      <c r="A35" s="4">
        <v>121003.0</v>
      </c>
      <c r="B35" s="10">
        <v>302017.0</v>
      </c>
      <c r="C35" s="4" t="s">
        <v>147</v>
      </c>
      <c r="F35" s="11">
        <f>IFERROR(__xludf.DUMMYFUNCTION("""COMPUTED_VALUE"""),121003.0)</f>
        <v>121003</v>
      </c>
      <c r="G35" s="12">
        <f>IFERROR(__xludf.DUMMYFUNCTION("""COMPUTED_VALUE"""),305801.0)</f>
        <v>305801</v>
      </c>
      <c r="H35" s="13" t="str">
        <f>IFERROR(__xludf.DUMMYFUNCTION("""COMPUTED_VALUE"""),"b")</f>
        <v>b</v>
      </c>
      <c r="J35" s="14" t="str">
        <f t="shared" si="1"/>
        <v>b</v>
      </c>
      <c r="K35" s="4" t="str">
        <f t="shared" si="2"/>
        <v>same</v>
      </c>
    </row>
    <row r="36" ht="15.75" customHeight="1">
      <c r="A36" s="4">
        <v>121003.0</v>
      </c>
      <c r="B36" s="10">
        <v>302017.0</v>
      </c>
      <c r="C36" s="4" t="s">
        <v>147</v>
      </c>
      <c r="F36" s="11">
        <f>IFERROR(__xludf.DUMMYFUNCTION("""COMPUTED_VALUE"""),121003.0)</f>
        <v>121003</v>
      </c>
      <c r="G36" s="12">
        <f>IFERROR(__xludf.DUMMYFUNCTION("""COMPUTED_VALUE"""),306116.0)</f>
        <v>306116</v>
      </c>
      <c r="H36" s="13" t="str">
        <f>IFERROR(__xludf.DUMMYFUNCTION("""COMPUTED_VALUE"""),"b")</f>
        <v>b</v>
      </c>
      <c r="J36" s="14" t="str">
        <f t="shared" si="1"/>
        <v>b</v>
      </c>
      <c r="K36" s="4" t="str">
        <f t="shared" si="2"/>
        <v>same</v>
      </c>
    </row>
    <row r="37" ht="15.75" customHeight="1">
      <c r="A37" s="4">
        <v>121003.0</v>
      </c>
      <c r="B37" s="10">
        <v>302018.0</v>
      </c>
      <c r="C37" s="4" t="s">
        <v>147</v>
      </c>
      <c r="F37" s="11">
        <f>IFERROR(__xludf.DUMMYFUNCTION("""COMPUTED_VALUE"""),121003.0)</f>
        <v>121003</v>
      </c>
      <c r="G37" s="12">
        <f>IFERROR(__xludf.DUMMYFUNCTION("""COMPUTED_VALUE"""),306302.0)</f>
        <v>306302</v>
      </c>
      <c r="H37" s="13" t="str">
        <f>IFERROR(__xludf.DUMMYFUNCTION("""COMPUTED_VALUE"""),"b")</f>
        <v>b</v>
      </c>
      <c r="J37" s="14" t="str">
        <f t="shared" si="1"/>
        <v>b</v>
      </c>
      <c r="K37" s="4" t="str">
        <f t="shared" si="2"/>
        <v>same</v>
      </c>
    </row>
    <row r="38" ht="15.75" customHeight="1">
      <c r="A38" s="4">
        <v>121003.0</v>
      </c>
      <c r="B38" s="10">
        <v>302018.0</v>
      </c>
      <c r="C38" s="4" t="s">
        <v>147</v>
      </c>
      <c r="F38" s="11">
        <f>IFERROR(__xludf.DUMMYFUNCTION("""COMPUTED_VALUE"""),121003.0)</f>
        <v>121003</v>
      </c>
      <c r="G38" s="12">
        <f>IFERROR(__xludf.DUMMYFUNCTION("""COMPUTED_VALUE"""),307026.0)</f>
        <v>307026</v>
      </c>
      <c r="H38" s="13" t="str">
        <f>IFERROR(__xludf.DUMMYFUNCTION("""COMPUTED_VALUE"""),"b")</f>
        <v>b</v>
      </c>
      <c r="J38" s="14" t="str">
        <f t="shared" si="1"/>
        <v>b</v>
      </c>
      <c r="K38" s="4" t="str">
        <f t="shared" si="2"/>
        <v>same</v>
      </c>
    </row>
    <row r="39" ht="15.75" customHeight="1">
      <c r="A39" s="4">
        <v>121003.0</v>
      </c>
      <c r="B39" s="10">
        <v>302019.0</v>
      </c>
      <c r="C39" s="4" t="s">
        <v>147</v>
      </c>
      <c r="F39" s="11">
        <f>IFERROR(__xludf.DUMMYFUNCTION("""COMPUTED_VALUE"""),121003.0)</f>
        <v>121003</v>
      </c>
      <c r="G39" s="12">
        <f>IFERROR(__xludf.DUMMYFUNCTION("""COMPUTED_VALUE"""),311001.0)</f>
        <v>311001</v>
      </c>
      <c r="H39" s="13" t="str">
        <f>IFERROR(__xludf.DUMMYFUNCTION("""COMPUTED_VALUE"""),"b")</f>
        <v>b</v>
      </c>
      <c r="J39" s="14" t="str">
        <f t="shared" si="1"/>
        <v>b</v>
      </c>
      <c r="K39" s="4" t="str">
        <f t="shared" si="2"/>
        <v>same</v>
      </c>
    </row>
    <row r="40" ht="15.75" customHeight="1">
      <c r="A40" s="4">
        <v>121003.0</v>
      </c>
      <c r="B40" s="10">
        <v>302020.0</v>
      </c>
      <c r="C40" s="4" t="s">
        <v>147</v>
      </c>
      <c r="F40" s="11">
        <f>IFERROR(__xludf.DUMMYFUNCTION("""COMPUTED_VALUE"""),121003.0)</f>
        <v>121003</v>
      </c>
      <c r="G40" s="12">
        <f>IFERROR(__xludf.DUMMYFUNCTION("""COMPUTED_VALUE"""),311011.0)</f>
        <v>311011</v>
      </c>
      <c r="H40" s="13" t="str">
        <f>IFERROR(__xludf.DUMMYFUNCTION("""COMPUTED_VALUE"""),"b")</f>
        <v>b</v>
      </c>
      <c r="J40" s="14" t="str">
        <f t="shared" si="1"/>
        <v>b</v>
      </c>
      <c r="K40" s="4" t="str">
        <f t="shared" si="2"/>
        <v>same</v>
      </c>
    </row>
    <row r="41" ht="15.75" customHeight="1">
      <c r="A41" s="4">
        <v>121003.0</v>
      </c>
      <c r="B41" s="10">
        <v>302020.0</v>
      </c>
      <c r="C41" s="4" t="s">
        <v>147</v>
      </c>
      <c r="F41" s="11">
        <f>IFERROR(__xludf.DUMMYFUNCTION("""COMPUTED_VALUE"""),121003.0)</f>
        <v>121003</v>
      </c>
      <c r="G41" s="12">
        <f>IFERROR(__xludf.DUMMYFUNCTION("""COMPUTED_VALUE"""),313001.0)</f>
        <v>313001</v>
      </c>
      <c r="H41" s="13" t="str">
        <f>IFERROR(__xludf.DUMMYFUNCTION("""COMPUTED_VALUE"""),"b")</f>
        <v>b</v>
      </c>
      <c r="J41" s="14" t="str">
        <f t="shared" si="1"/>
        <v>b</v>
      </c>
      <c r="K41" s="4" t="str">
        <f t="shared" si="2"/>
        <v>same</v>
      </c>
    </row>
    <row r="42" ht="15.75" customHeight="1">
      <c r="A42" s="4">
        <v>121003.0</v>
      </c>
      <c r="B42" s="10">
        <v>302031.0</v>
      </c>
      <c r="C42" s="4" t="s">
        <v>147</v>
      </c>
      <c r="F42" s="11">
        <f>IFERROR(__xludf.DUMMYFUNCTION("""COMPUTED_VALUE"""),121003.0)</f>
        <v>121003</v>
      </c>
      <c r="G42" s="12">
        <f>IFERROR(__xludf.DUMMYFUNCTION("""COMPUTED_VALUE"""),313003.0)</f>
        <v>313003</v>
      </c>
      <c r="H42" s="13" t="str">
        <f>IFERROR(__xludf.DUMMYFUNCTION("""COMPUTED_VALUE"""),"b")</f>
        <v>b</v>
      </c>
      <c r="J42" s="14" t="str">
        <f t="shared" si="1"/>
        <v>b</v>
      </c>
      <c r="K42" s="4" t="str">
        <f t="shared" si="2"/>
        <v>same</v>
      </c>
    </row>
    <row r="43" ht="15.75" customHeight="1">
      <c r="A43" s="4">
        <v>121003.0</v>
      </c>
      <c r="B43" s="10">
        <v>302031.0</v>
      </c>
      <c r="C43" s="4" t="s">
        <v>147</v>
      </c>
      <c r="F43" s="11">
        <f>IFERROR(__xludf.DUMMYFUNCTION("""COMPUTED_VALUE"""),121003.0)</f>
        <v>121003</v>
      </c>
      <c r="G43" s="12">
        <f>IFERROR(__xludf.DUMMYFUNCTION("""COMPUTED_VALUE"""),313027.0)</f>
        <v>313027</v>
      </c>
      <c r="H43" s="13" t="str">
        <f>IFERROR(__xludf.DUMMYFUNCTION("""COMPUTED_VALUE"""),"b")</f>
        <v>b</v>
      </c>
      <c r="J43" s="14" t="str">
        <f t="shared" si="1"/>
        <v>b</v>
      </c>
      <c r="K43" s="4" t="str">
        <f t="shared" si="2"/>
        <v>same</v>
      </c>
    </row>
    <row r="44" ht="15.75" customHeight="1">
      <c r="A44" s="4">
        <v>121003.0</v>
      </c>
      <c r="B44" s="10">
        <v>302039.0</v>
      </c>
      <c r="C44" s="4" t="s">
        <v>147</v>
      </c>
      <c r="F44" s="11">
        <f>IFERROR(__xludf.DUMMYFUNCTION("""COMPUTED_VALUE"""),121003.0)</f>
        <v>121003</v>
      </c>
      <c r="G44" s="12">
        <f>IFERROR(__xludf.DUMMYFUNCTION("""COMPUTED_VALUE"""),313301.0)</f>
        <v>313301</v>
      </c>
      <c r="H44" s="13" t="str">
        <f>IFERROR(__xludf.DUMMYFUNCTION("""COMPUTED_VALUE"""),"b")</f>
        <v>b</v>
      </c>
      <c r="J44" s="14" t="str">
        <f t="shared" si="1"/>
        <v>b</v>
      </c>
      <c r="K44" s="4" t="str">
        <f t="shared" si="2"/>
        <v>same</v>
      </c>
    </row>
    <row r="45" ht="15.75" customHeight="1">
      <c r="A45" s="4">
        <v>121003.0</v>
      </c>
      <c r="B45" s="10">
        <v>303702.0</v>
      </c>
      <c r="C45" s="4" t="s">
        <v>147</v>
      </c>
      <c r="F45" s="11">
        <f>IFERROR(__xludf.DUMMYFUNCTION("""COMPUTED_VALUE"""),121003.0)</f>
        <v>121003</v>
      </c>
      <c r="G45" s="12">
        <f>IFERROR(__xludf.DUMMYFUNCTION("""COMPUTED_VALUE"""),313333.0)</f>
        <v>313333</v>
      </c>
      <c r="H45" s="13" t="str">
        <f>IFERROR(__xludf.DUMMYFUNCTION("""COMPUTED_VALUE"""),"b")</f>
        <v>b</v>
      </c>
      <c r="J45" s="14" t="str">
        <f t="shared" si="1"/>
        <v>b</v>
      </c>
      <c r="K45" s="4" t="str">
        <f t="shared" si="2"/>
        <v>same</v>
      </c>
    </row>
    <row r="46" ht="15.75" customHeight="1">
      <c r="A46" s="4">
        <v>121003.0</v>
      </c>
      <c r="B46" s="10">
        <v>303903.0</v>
      </c>
      <c r="C46" s="4" t="s">
        <v>147</v>
      </c>
      <c r="F46" s="11">
        <f>IFERROR(__xludf.DUMMYFUNCTION("""COMPUTED_VALUE"""),121003.0)</f>
        <v>121003</v>
      </c>
      <c r="G46" s="12">
        <f>IFERROR(__xludf.DUMMYFUNCTION("""COMPUTED_VALUE"""),314001.0)</f>
        <v>314001</v>
      </c>
      <c r="H46" s="13" t="str">
        <f>IFERROR(__xludf.DUMMYFUNCTION("""COMPUTED_VALUE"""),"b")</f>
        <v>b</v>
      </c>
      <c r="J46" s="14" t="str">
        <f t="shared" si="1"/>
        <v>b</v>
      </c>
      <c r="K46" s="4" t="str">
        <f t="shared" si="2"/>
        <v>same</v>
      </c>
    </row>
    <row r="47" ht="15.75" customHeight="1">
      <c r="A47" s="4">
        <v>121003.0</v>
      </c>
      <c r="B47" s="10">
        <v>305801.0</v>
      </c>
      <c r="C47" s="4" t="s">
        <v>147</v>
      </c>
      <c r="F47" s="11">
        <f>IFERROR(__xludf.DUMMYFUNCTION("""COMPUTED_VALUE"""),121003.0)</f>
        <v>121003</v>
      </c>
      <c r="G47" s="12">
        <f>IFERROR(__xludf.DUMMYFUNCTION("""COMPUTED_VALUE"""),314401.0)</f>
        <v>314401</v>
      </c>
      <c r="H47" s="13" t="str">
        <f>IFERROR(__xludf.DUMMYFUNCTION("""COMPUTED_VALUE"""),"b")</f>
        <v>b</v>
      </c>
      <c r="J47" s="14" t="str">
        <f t="shared" si="1"/>
        <v>b</v>
      </c>
      <c r="K47" s="4" t="str">
        <f t="shared" si="2"/>
        <v>same</v>
      </c>
    </row>
    <row r="48" ht="15.75" customHeight="1">
      <c r="A48" s="4">
        <v>121003.0</v>
      </c>
      <c r="B48" s="10">
        <v>306116.0</v>
      </c>
      <c r="C48" s="4" t="s">
        <v>147</v>
      </c>
      <c r="F48" s="11">
        <f>IFERROR(__xludf.DUMMYFUNCTION("""COMPUTED_VALUE"""),121003.0)</f>
        <v>121003</v>
      </c>
      <c r="G48" s="12">
        <f>IFERROR(__xludf.DUMMYFUNCTION("""COMPUTED_VALUE"""),321001.0)</f>
        <v>321001</v>
      </c>
      <c r="H48" s="13" t="str">
        <f>IFERROR(__xludf.DUMMYFUNCTION("""COMPUTED_VALUE"""),"b")</f>
        <v>b</v>
      </c>
      <c r="J48" s="14" t="str">
        <f t="shared" si="1"/>
        <v>b</v>
      </c>
      <c r="K48" s="4" t="str">
        <f t="shared" si="2"/>
        <v>same</v>
      </c>
    </row>
    <row r="49" ht="15.75" customHeight="1">
      <c r="A49" s="4">
        <v>121003.0</v>
      </c>
      <c r="B49" s="10">
        <v>306302.0</v>
      </c>
      <c r="C49" s="4" t="s">
        <v>147</v>
      </c>
      <c r="F49" s="11">
        <f>IFERROR(__xludf.DUMMYFUNCTION("""COMPUTED_VALUE"""),121003.0)</f>
        <v>121003</v>
      </c>
      <c r="G49" s="12">
        <f>IFERROR(__xludf.DUMMYFUNCTION("""COMPUTED_VALUE"""),321608.0)</f>
        <v>321608</v>
      </c>
      <c r="H49" s="13" t="str">
        <f>IFERROR(__xludf.DUMMYFUNCTION("""COMPUTED_VALUE"""),"b")</f>
        <v>b</v>
      </c>
      <c r="J49" s="14" t="str">
        <f t="shared" si="1"/>
        <v>b</v>
      </c>
      <c r="K49" s="4" t="str">
        <f t="shared" si="2"/>
        <v>same</v>
      </c>
    </row>
    <row r="50" ht="15.75" customHeight="1">
      <c r="A50" s="4">
        <v>121003.0</v>
      </c>
      <c r="B50" s="10">
        <v>307026.0</v>
      </c>
      <c r="C50" s="4" t="s">
        <v>147</v>
      </c>
      <c r="F50" s="11">
        <f>IFERROR(__xludf.DUMMYFUNCTION("""COMPUTED_VALUE"""),121003.0)</f>
        <v>121003</v>
      </c>
      <c r="G50" s="12">
        <f>IFERROR(__xludf.DUMMYFUNCTION("""COMPUTED_VALUE"""),322201.0)</f>
        <v>322201</v>
      </c>
      <c r="H50" s="13" t="str">
        <f>IFERROR(__xludf.DUMMYFUNCTION("""COMPUTED_VALUE"""),"b")</f>
        <v>b</v>
      </c>
      <c r="J50" s="14" t="str">
        <f t="shared" si="1"/>
        <v>b</v>
      </c>
      <c r="K50" s="4" t="str">
        <f t="shared" si="2"/>
        <v>same</v>
      </c>
    </row>
    <row r="51" ht="15.75" customHeight="1">
      <c r="A51" s="4">
        <v>121003.0</v>
      </c>
      <c r="B51" s="10">
        <v>311001.0</v>
      </c>
      <c r="C51" s="4" t="s">
        <v>147</v>
      </c>
      <c r="F51" s="11">
        <f>IFERROR(__xludf.DUMMYFUNCTION("""COMPUTED_VALUE"""),121003.0)</f>
        <v>121003</v>
      </c>
      <c r="G51" s="12">
        <f>IFERROR(__xludf.DUMMYFUNCTION("""COMPUTED_VALUE"""),322255.0)</f>
        <v>322255</v>
      </c>
      <c r="H51" s="13" t="str">
        <f>IFERROR(__xludf.DUMMYFUNCTION("""COMPUTED_VALUE"""),"b")</f>
        <v>b</v>
      </c>
      <c r="J51" s="14" t="str">
        <f t="shared" si="1"/>
        <v>b</v>
      </c>
      <c r="K51" s="4" t="str">
        <f t="shared" si="2"/>
        <v>same</v>
      </c>
    </row>
    <row r="52" ht="15.75" customHeight="1">
      <c r="A52" s="4">
        <v>121003.0</v>
      </c>
      <c r="B52" s="10">
        <v>311011.0</v>
      </c>
      <c r="C52" s="4" t="s">
        <v>147</v>
      </c>
      <c r="F52" s="11">
        <f>IFERROR(__xludf.DUMMYFUNCTION("""COMPUTED_VALUE"""),121003.0)</f>
        <v>121003</v>
      </c>
      <c r="G52" s="12">
        <f>IFERROR(__xludf.DUMMYFUNCTION("""COMPUTED_VALUE"""),324001.0)</f>
        <v>324001</v>
      </c>
      <c r="H52" s="13" t="str">
        <f>IFERROR(__xludf.DUMMYFUNCTION("""COMPUTED_VALUE"""),"b")</f>
        <v>b</v>
      </c>
      <c r="J52" s="14" t="str">
        <f t="shared" si="1"/>
        <v>b</v>
      </c>
      <c r="K52" s="4" t="str">
        <f t="shared" si="2"/>
        <v>same</v>
      </c>
    </row>
    <row r="53" ht="15.75" customHeight="1">
      <c r="A53" s="4">
        <v>121003.0</v>
      </c>
      <c r="B53" s="10">
        <v>313001.0</v>
      </c>
      <c r="C53" s="4" t="s">
        <v>147</v>
      </c>
      <c r="F53" s="11">
        <f>IFERROR(__xludf.DUMMYFUNCTION("""COMPUTED_VALUE"""),121003.0)</f>
        <v>121003</v>
      </c>
      <c r="G53" s="12">
        <f>IFERROR(__xludf.DUMMYFUNCTION("""COMPUTED_VALUE"""),324005.0)</f>
        <v>324005</v>
      </c>
      <c r="H53" s="13" t="str">
        <f>IFERROR(__xludf.DUMMYFUNCTION("""COMPUTED_VALUE"""),"b")</f>
        <v>b</v>
      </c>
      <c r="J53" s="14" t="str">
        <f t="shared" si="1"/>
        <v>b</v>
      </c>
      <c r="K53" s="4" t="str">
        <f t="shared" si="2"/>
        <v>same</v>
      </c>
    </row>
    <row r="54" ht="15.75" customHeight="1">
      <c r="A54" s="4">
        <v>121003.0</v>
      </c>
      <c r="B54" s="10">
        <v>313001.0</v>
      </c>
      <c r="C54" s="4" t="s">
        <v>147</v>
      </c>
      <c r="F54" s="11">
        <f>IFERROR(__xludf.DUMMYFUNCTION("""COMPUTED_VALUE"""),121003.0)</f>
        <v>121003</v>
      </c>
      <c r="G54" s="12">
        <f>IFERROR(__xludf.DUMMYFUNCTION("""COMPUTED_VALUE"""),324008.0)</f>
        <v>324008</v>
      </c>
      <c r="H54" s="13" t="str">
        <f>IFERROR(__xludf.DUMMYFUNCTION("""COMPUTED_VALUE"""),"b")</f>
        <v>b</v>
      </c>
      <c r="J54" s="14" t="str">
        <f t="shared" si="1"/>
        <v>b</v>
      </c>
      <c r="K54" s="4" t="str">
        <f t="shared" si="2"/>
        <v>same</v>
      </c>
    </row>
    <row r="55" ht="15.75" customHeight="1">
      <c r="A55" s="4">
        <v>121003.0</v>
      </c>
      <c r="B55" s="10">
        <v>313001.0</v>
      </c>
      <c r="C55" s="4" t="s">
        <v>147</v>
      </c>
      <c r="F55" s="11">
        <f>IFERROR(__xludf.DUMMYFUNCTION("""COMPUTED_VALUE"""),121003.0)</f>
        <v>121003</v>
      </c>
      <c r="G55" s="12">
        <f>IFERROR(__xludf.DUMMYFUNCTION("""COMPUTED_VALUE"""),325207.0)</f>
        <v>325207</v>
      </c>
      <c r="H55" s="13" t="str">
        <f>IFERROR(__xludf.DUMMYFUNCTION("""COMPUTED_VALUE"""),"b")</f>
        <v>b</v>
      </c>
      <c r="J55" s="14" t="str">
        <f t="shared" si="1"/>
        <v>b</v>
      </c>
      <c r="K55" s="4" t="str">
        <f t="shared" si="2"/>
        <v>same</v>
      </c>
    </row>
    <row r="56" ht="15.75" customHeight="1">
      <c r="A56" s="4">
        <v>121003.0</v>
      </c>
      <c r="B56" s="10">
        <v>313001.0</v>
      </c>
      <c r="C56" s="4" t="s">
        <v>147</v>
      </c>
      <c r="F56" s="11">
        <f>IFERROR(__xludf.DUMMYFUNCTION("""COMPUTED_VALUE"""),121003.0)</f>
        <v>121003</v>
      </c>
      <c r="G56" s="12">
        <f>IFERROR(__xludf.DUMMYFUNCTION("""COMPUTED_VALUE"""),326502.0)</f>
        <v>326502</v>
      </c>
      <c r="H56" s="13" t="str">
        <f>IFERROR(__xludf.DUMMYFUNCTION("""COMPUTED_VALUE"""),"d")</f>
        <v>d</v>
      </c>
      <c r="J56" s="14" t="str">
        <f t="shared" si="1"/>
        <v>b</v>
      </c>
      <c r="K56" s="4" t="str">
        <f t="shared" si="2"/>
        <v>same</v>
      </c>
    </row>
    <row r="57" ht="15.75" customHeight="1">
      <c r="A57" s="4">
        <v>121003.0</v>
      </c>
      <c r="B57" s="10">
        <v>313003.0</v>
      </c>
      <c r="C57" s="4" t="s">
        <v>147</v>
      </c>
      <c r="F57" s="11">
        <f>IFERROR(__xludf.DUMMYFUNCTION("""COMPUTED_VALUE"""),121003.0)</f>
        <v>121003</v>
      </c>
      <c r="G57" s="12">
        <f>IFERROR(__xludf.DUMMYFUNCTION("""COMPUTED_VALUE"""),327025.0)</f>
        <v>327025</v>
      </c>
      <c r="H57" s="13" t="str">
        <f>IFERROR(__xludf.DUMMYFUNCTION("""COMPUTED_VALUE"""),"b")</f>
        <v>b</v>
      </c>
      <c r="J57" s="14" t="str">
        <f t="shared" si="1"/>
        <v>b</v>
      </c>
      <c r="K57" s="4" t="str">
        <f t="shared" si="2"/>
        <v>same</v>
      </c>
    </row>
    <row r="58" ht="15.75" customHeight="1">
      <c r="A58" s="4">
        <v>121003.0</v>
      </c>
      <c r="B58" s="10">
        <v>313027.0</v>
      </c>
      <c r="C58" s="4" t="s">
        <v>147</v>
      </c>
      <c r="F58" s="11">
        <f>IFERROR(__xludf.DUMMYFUNCTION("""COMPUTED_VALUE"""),121003.0)</f>
        <v>121003</v>
      </c>
      <c r="G58" s="12">
        <f>IFERROR(__xludf.DUMMYFUNCTION("""COMPUTED_VALUE"""),331022.0)</f>
        <v>331022</v>
      </c>
      <c r="H58" s="13" t="str">
        <f>IFERROR(__xludf.DUMMYFUNCTION("""COMPUTED_VALUE"""),"b")</f>
        <v>b</v>
      </c>
      <c r="J58" s="14" t="str">
        <f t="shared" si="1"/>
        <v>b</v>
      </c>
      <c r="K58" s="4" t="str">
        <f t="shared" si="2"/>
        <v>same</v>
      </c>
    </row>
    <row r="59" ht="15.75" customHeight="1">
      <c r="A59" s="4">
        <v>121003.0</v>
      </c>
      <c r="B59" s="10">
        <v>313301.0</v>
      </c>
      <c r="C59" s="4" t="s">
        <v>147</v>
      </c>
      <c r="F59" s="11">
        <f>IFERROR(__xludf.DUMMYFUNCTION("""COMPUTED_VALUE"""),121003.0)</f>
        <v>121003</v>
      </c>
      <c r="G59" s="12">
        <f>IFERROR(__xludf.DUMMYFUNCTION("""COMPUTED_VALUE"""),332715.0)</f>
        <v>332715</v>
      </c>
      <c r="H59" s="13" t="str">
        <f>IFERROR(__xludf.DUMMYFUNCTION("""COMPUTED_VALUE"""),"b")</f>
        <v>b</v>
      </c>
      <c r="J59" s="14" t="str">
        <f t="shared" si="1"/>
        <v>b</v>
      </c>
      <c r="K59" s="4" t="str">
        <f t="shared" si="2"/>
        <v>same</v>
      </c>
    </row>
    <row r="60" ht="15.75" customHeight="1">
      <c r="A60" s="4">
        <v>121003.0</v>
      </c>
      <c r="B60" s="10">
        <v>313333.0</v>
      </c>
      <c r="C60" s="4" t="s">
        <v>147</v>
      </c>
      <c r="F60" s="11">
        <f>IFERROR(__xludf.DUMMYFUNCTION("""COMPUTED_VALUE"""),121003.0)</f>
        <v>121003</v>
      </c>
      <c r="G60" s="12">
        <f>IFERROR(__xludf.DUMMYFUNCTION("""COMPUTED_VALUE"""),334001.0)</f>
        <v>334001</v>
      </c>
      <c r="H60" s="13" t="str">
        <f>IFERROR(__xludf.DUMMYFUNCTION("""COMPUTED_VALUE"""),"b")</f>
        <v>b</v>
      </c>
      <c r="J60" s="14" t="str">
        <f t="shared" si="1"/>
        <v>b</v>
      </c>
      <c r="K60" s="4" t="str">
        <f t="shared" si="2"/>
        <v>same</v>
      </c>
    </row>
    <row r="61" ht="15.75" customHeight="1">
      <c r="A61" s="4">
        <v>121003.0</v>
      </c>
      <c r="B61" s="10">
        <v>314001.0</v>
      </c>
      <c r="C61" s="4" t="s">
        <v>147</v>
      </c>
      <c r="F61" s="11">
        <f>IFERROR(__xludf.DUMMYFUNCTION("""COMPUTED_VALUE"""),121003.0)</f>
        <v>121003</v>
      </c>
      <c r="G61" s="12">
        <f>IFERROR(__xludf.DUMMYFUNCTION("""COMPUTED_VALUE"""),334004.0)</f>
        <v>334004</v>
      </c>
      <c r="H61" s="13" t="str">
        <f>IFERROR(__xludf.DUMMYFUNCTION("""COMPUTED_VALUE"""),"b")</f>
        <v>b</v>
      </c>
      <c r="J61" s="14" t="str">
        <f t="shared" si="1"/>
        <v>b</v>
      </c>
      <c r="K61" s="4" t="str">
        <f t="shared" si="2"/>
        <v>same</v>
      </c>
    </row>
    <row r="62" ht="15.75" customHeight="1">
      <c r="A62" s="4">
        <v>121003.0</v>
      </c>
      <c r="B62" s="10">
        <v>314401.0</v>
      </c>
      <c r="C62" s="4" t="s">
        <v>147</v>
      </c>
      <c r="F62" s="11">
        <f>IFERROR(__xludf.DUMMYFUNCTION("""COMPUTED_VALUE"""),121003.0)</f>
        <v>121003</v>
      </c>
      <c r="G62" s="12">
        <f>IFERROR(__xludf.DUMMYFUNCTION("""COMPUTED_VALUE"""),335001.0)</f>
        <v>335001</v>
      </c>
      <c r="H62" s="13" t="str">
        <f>IFERROR(__xludf.DUMMYFUNCTION("""COMPUTED_VALUE"""),"b")</f>
        <v>b</v>
      </c>
      <c r="J62" s="14" t="str">
        <f t="shared" si="1"/>
        <v>b</v>
      </c>
      <c r="K62" s="4" t="str">
        <f t="shared" si="2"/>
        <v>same</v>
      </c>
    </row>
    <row r="63" ht="15.75" customHeight="1">
      <c r="A63" s="4">
        <v>121003.0</v>
      </c>
      <c r="B63" s="10">
        <v>321001.0</v>
      </c>
      <c r="C63" s="4" t="s">
        <v>147</v>
      </c>
      <c r="F63" s="11">
        <f>IFERROR(__xludf.DUMMYFUNCTION("""COMPUTED_VALUE"""),121003.0)</f>
        <v>121003</v>
      </c>
      <c r="G63" s="12">
        <f>IFERROR(__xludf.DUMMYFUNCTION("""COMPUTED_VALUE"""),335502.0)</f>
        <v>335502</v>
      </c>
      <c r="H63" s="13" t="str">
        <f>IFERROR(__xludf.DUMMYFUNCTION("""COMPUTED_VALUE"""),"b")</f>
        <v>b</v>
      </c>
      <c r="J63" s="14" t="str">
        <f t="shared" si="1"/>
        <v>b</v>
      </c>
      <c r="K63" s="4" t="str">
        <f t="shared" si="2"/>
        <v>same</v>
      </c>
    </row>
    <row r="64" ht="15.75" customHeight="1">
      <c r="A64" s="4">
        <v>121003.0</v>
      </c>
      <c r="B64" s="10">
        <v>321608.0</v>
      </c>
      <c r="C64" s="4" t="s">
        <v>147</v>
      </c>
      <c r="F64" s="11">
        <f>IFERROR(__xludf.DUMMYFUNCTION("""COMPUTED_VALUE"""),121003.0)</f>
        <v>121003</v>
      </c>
      <c r="G64" s="12">
        <f>IFERROR(__xludf.DUMMYFUNCTION("""COMPUTED_VALUE"""),335512.0)</f>
        <v>335512</v>
      </c>
      <c r="H64" s="13" t="str">
        <f>IFERROR(__xludf.DUMMYFUNCTION("""COMPUTED_VALUE"""),"b")</f>
        <v>b</v>
      </c>
      <c r="J64" s="14" t="str">
        <f t="shared" si="1"/>
        <v>b</v>
      </c>
      <c r="K64" s="4" t="str">
        <f t="shared" si="2"/>
        <v>same</v>
      </c>
    </row>
    <row r="65" ht="15.75" customHeight="1">
      <c r="A65" s="4">
        <v>121003.0</v>
      </c>
      <c r="B65" s="10">
        <v>322201.0</v>
      </c>
      <c r="C65" s="4" t="s">
        <v>147</v>
      </c>
      <c r="F65" s="11">
        <f>IFERROR(__xludf.DUMMYFUNCTION("""COMPUTED_VALUE"""),121003.0)</f>
        <v>121003</v>
      </c>
      <c r="G65" s="12">
        <f>IFERROR(__xludf.DUMMYFUNCTION("""COMPUTED_VALUE"""),335803.0)</f>
        <v>335803</v>
      </c>
      <c r="H65" s="13" t="str">
        <f>IFERROR(__xludf.DUMMYFUNCTION("""COMPUTED_VALUE"""),"b")</f>
        <v>b</v>
      </c>
      <c r="J65" s="14" t="str">
        <f t="shared" si="1"/>
        <v>b</v>
      </c>
      <c r="K65" s="4" t="str">
        <f t="shared" si="2"/>
        <v>same</v>
      </c>
    </row>
    <row r="66" ht="15.75" customHeight="1">
      <c r="A66" s="4">
        <v>121003.0</v>
      </c>
      <c r="B66" s="10">
        <v>322255.0</v>
      </c>
      <c r="C66" s="4" t="s">
        <v>147</v>
      </c>
      <c r="F66" s="11">
        <f>IFERROR(__xludf.DUMMYFUNCTION("""COMPUTED_VALUE"""),121003.0)</f>
        <v>121003</v>
      </c>
      <c r="G66" s="12">
        <f>IFERROR(__xludf.DUMMYFUNCTION("""COMPUTED_VALUE"""),341001.0)</f>
        <v>341001</v>
      </c>
      <c r="H66" s="13" t="str">
        <f>IFERROR(__xludf.DUMMYFUNCTION("""COMPUTED_VALUE"""),"b")</f>
        <v>b</v>
      </c>
      <c r="J66" s="14" t="str">
        <f t="shared" si="1"/>
        <v>b</v>
      </c>
      <c r="K66" s="4" t="str">
        <f t="shared" si="2"/>
        <v>same</v>
      </c>
    </row>
    <row r="67" ht="15.75" customHeight="1">
      <c r="A67" s="4">
        <v>121003.0</v>
      </c>
      <c r="B67" s="10">
        <v>324001.0</v>
      </c>
      <c r="C67" s="4" t="s">
        <v>147</v>
      </c>
      <c r="F67" s="11">
        <f>IFERROR(__xludf.DUMMYFUNCTION("""COMPUTED_VALUE"""),121003.0)</f>
        <v>121003</v>
      </c>
      <c r="G67" s="12">
        <f>IFERROR(__xludf.DUMMYFUNCTION("""COMPUTED_VALUE"""),342008.0)</f>
        <v>342008</v>
      </c>
      <c r="H67" s="13" t="str">
        <f>IFERROR(__xludf.DUMMYFUNCTION("""COMPUTED_VALUE"""),"b")</f>
        <v>b</v>
      </c>
      <c r="J67" s="14" t="str">
        <f t="shared" si="1"/>
        <v>b</v>
      </c>
      <c r="K67" s="4" t="str">
        <f t="shared" si="2"/>
        <v>same</v>
      </c>
    </row>
    <row r="68" ht="15.75" customHeight="1">
      <c r="A68" s="4">
        <v>121003.0</v>
      </c>
      <c r="B68" s="10">
        <v>324005.0</v>
      </c>
      <c r="C68" s="4" t="s">
        <v>147</v>
      </c>
      <c r="F68" s="11">
        <f>IFERROR(__xludf.DUMMYFUNCTION("""COMPUTED_VALUE"""),121003.0)</f>
        <v>121003</v>
      </c>
      <c r="G68" s="12">
        <f>IFERROR(__xludf.DUMMYFUNCTION("""COMPUTED_VALUE"""),342012.0)</f>
        <v>342012</v>
      </c>
      <c r="H68" s="13" t="str">
        <f>IFERROR(__xludf.DUMMYFUNCTION("""COMPUTED_VALUE"""),"b")</f>
        <v>b</v>
      </c>
      <c r="J68" s="14" t="str">
        <f t="shared" si="1"/>
        <v>b</v>
      </c>
      <c r="K68" s="4" t="str">
        <f t="shared" si="2"/>
        <v>same</v>
      </c>
    </row>
    <row r="69" ht="15.75" customHeight="1">
      <c r="A69" s="4">
        <v>121003.0</v>
      </c>
      <c r="B69" s="10">
        <v>324008.0</v>
      </c>
      <c r="C69" s="4" t="s">
        <v>147</v>
      </c>
      <c r="F69" s="11">
        <f>IFERROR(__xludf.DUMMYFUNCTION("""COMPUTED_VALUE"""),121003.0)</f>
        <v>121003</v>
      </c>
      <c r="G69" s="12">
        <f>IFERROR(__xludf.DUMMYFUNCTION("""COMPUTED_VALUE"""),342014.0)</f>
        <v>342014</v>
      </c>
      <c r="H69" s="13" t="str">
        <f>IFERROR(__xludf.DUMMYFUNCTION("""COMPUTED_VALUE"""),"b")</f>
        <v>b</v>
      </c>
      <c r="J69" s="14" t="str">
        <f t="shared" si="1"/>
        <v>b</v>
      </c>
      <c r="K69" s="4" t="str">
        <f t="shared" si="2"/>
        <v>same</v>
      </c>
    </row>
    <row r="70" ht="15.75" customHeight="1">
      <c r="A70" s="4">
        <v>121003.0</v>
      </c>
      <c r="B70" s="10">
        <v>325207.0</v>
      </c>
      <c r="C70" s="4" t="s">
        <v>147</v>
      </c>
      <c r="F70" s="11">
        <f>IFERROR(__xludf.DUMMYFUNCTION("""COMPUTED_VALUE"""),121003.0)</f>
        <v>121003</v>
      </c>
      <c r="G70" s="12">
        <f>IFERROR(__xludf.DUMMYFUNCTION("""COMPUTED_VALUE"""),342301.0)</f>
        <v>342301</v>
      </c>
      <c r="H70" s="13" t="str">
        <f>IFERROR(__xludf.DUMMYFUNCTION("""COMPUTED_VALUE"""),"b")</f>
        <v>b</v>
      </c>
      <c r="J70" s="14" t="str">
        <f t="shared" si="1"/>
        <v>b</v>
      </c>
      <c r="K70" s="4" t="str">
        <f t="shared" si="2"/>
        <v>same</v>
      </c>
    </row>
    <row r="71" ht="15.75" customHeight="1">
      <c r="A71" s="4">
        <v>121003.0</v>
      </c>
      <c r="B71" s="10">
        <v>326502.0</v>
      </c>
      <c r="C71" s="4" t="s">
        <v>149</v>
      </c>
      <c r="F71" s="11">
        <f>IFERROR(__xludf.DUMMYFUNCTION("""COMPUTED_VALUE"""),121003.0)</f>
        <v>121003</v>
      </c>
      <c r="G71" s="12">
        <f>IFERROR(__xludf.DUMMYFUNCTION("""COMPUTED_VALUE"""),360005.0)</f>
        <v>360005</v>
      </c>
      <c r="H71" s="13" t="str">
        <f>IFERROR(__xludf.DUMMYFUNCTION("""COMPUTED_VALUE"""),"d")</f>
        <v>d</v>
      </c>
      <c r="J71" s="14" t="str">
        <f t="shared" si="1"/>
        <v>d</v>
      </c>
      <c r="K71" s="4" t="str">
        <f t="shared" si="2"/>
        <v>same</v>
      </c>
    </row>
    <row r="72" ht="15.75" customHeight="1">
      <c r="A72" s="4">
        <v>121003.0</v>
      </c>
      <c r="B72" s="10">
        <v>327025.0</v>
      </c>
      <c r="C72" s="4" t="s">
        <v>147</v>
      </c>
      <c r="F72" s="11">
        <f>IFERROR(__xludf.DUMMYFUNCTION("""COMPUTED_VALUE"""),121003.0)</f>
        <v>121003</v>
      </c>
      <c r="G72" s="12">
        <f>IFERROR(__xludf.DUMMYFUNCTION("""COMPUTED_VALUE"""),370201.0)</f>
        <v>370201</v>
      </c>
      <c r="H72" s="13" t="str">
        <f>IFERROR(__xludf.DUMMYFUNCTION("""COMPUTED_VALUE"""),"d")</f>
        <v>d</v>
      </c>
      <c r="J72" s="14" t="str">
        <f t="shared" si="1"/>
        <v>b</v>
      </c>
      <c r="K72" s="4" t="str">
        <f t="shared" si="2"/>
        <v>same</v>
      </c>
    </row>
    <row r="73" ht="15.75" customHeight="1">
      <c r="A73" s="4">
        <v>121003.0</v>
      </c>
      <c r="B73" s="10">
        <v>331022.0</v>
      </c>
      <c r="C73" s="4" t="s">
        <v>147</v>
      </c>
      <c r="F73" s="11">
        <f>IFERROR(__xludf.DUMMYFUNCTION("""COMPUTED_VALUE"""),121003.0)</f>
        <v>121003</v>
      </c>
      <c r="G73" s="12">
        <f>IFERROR(__xludf.DUMMYFUNCTION("""COMPUTED_VALUE"""),382830.0)</f>
        <v>382830</v>
      </c>
      <c r="H73" s="13" t="str">
        <f>IFERROR(__xludf.DUMMYFUNCTION("""COMPUTED_VALUE"""),"d")</f>
        <v>d</v>
      </c>
      <c r="J73" s="14" t="str">
        <f t="shared" si="1"/>
        <v>b</v>
      </c>
      <c r="K73" s="4" t="str">
        <f t="shared" si="2"/>
        <v>same</v>
      </c>
    </row>
    <row r="74" ht="15.75" customHeight="1">
      <c r="A74" s="4">
        <v>121003.0</v>
      </c>
      <c r="B74" s="10">
        <v>332715.0</v>
      </c>
      <c r="C74" s="4" t="s">
        <v>147</v>
      </c>
      <c r="F74" s="11">
        <f>IFERROR(__xludf.DUMMYFUNCTION("""COMPUTED_VALUE"""),121003.0)</f>
        <v>121003</v>
      </c>
      <c r="G74" s="12">
        <f>IFERROR(__xludf.DUMMYFUNCTION("""COMPUTED_VALUE"""),392150.0)</f>
        <v>392150</v>
      </c>
      <c r="H74" s="13" t="str">
        <f>IFERROR(__xludf.DUMMYFUNCTION("""COMPUTED_VALUE"""),"d")</f>
        <v>d</v>
      </c>
      <c r="J74" s="14" t="str">
        <f t="shared" si="1"/>
        <v>b</v>
      </c>
      <c r="K74" s="4" t="str">
        <f t="shared" si="2"/>
        <v>same</v>
      </c>
    </row>
    <row r="75" ht="15.75" customHeight="1">
      <c r="A75" s="4">
        <v>121003.0</v>
      </c>
      <c r="B75" s="10">
        <v>334001.0</v>
      </c>
      <c r="C75" s="4" t="s">
        <v>147</v>
      </c>
      <c r="F75" s="11">
        <f>IFERROR(__xludf.DUMMYFUNCTION("""COMPUTED_VALUE"""),121003.0)</f>
        <v>121003</v>
      </c>
      <c r="G75" s="12">
        <f>IFERROR(__xludf.DUMMYFUNCTION("""COMPUTED_VALUE"""),394210.0)</f>
        <v>394210</v>
      </c>
      <c r="H75" s="13" t="str">
        <f>IFERROR(__xludf.DUMMYFUNCTION("""COMPUTED_VALUE"""),"d")</f>
        <v>d</v>
      </c>
      <c r="J75" s="14" t="str">
        <f t="shared" si="1"/>
        <v>b</v>
      </c>
      <c r="K75" s="4" t="str">
        <f t="shared" si="2"/>
        <v>same</v>
      </c>
    </row>
    <row r="76" ht="15.75" customHeight="1">
      <c r="A76" s="4">
        <v>121003.0</v>
      </c>
      <c r="B76" s="10">
        <v>334004.0</v>
      </c>
      <c r="C76" s="4" t="s">
        <v>147</v>
      </c>
      <c r="F76" s="11">
        <f>IFERROR(__xludf.DUMMYFUNCTION("""COMPUTED_VALUE"""),121003.0)</f>
        <v>121003</v>
      </c>
      <c r="G76" s="12">
        <f>IFERROR(__xludf.DUMMYFUNCTION("""COMPUTED_VALUE"""),396001.0)</f>
        <v>396001</v>
      </c>
      <c r="H76" s="13" t="str">
        <f>IFERROR(__xludf.DUMMYFUNCTION("""COMPUTED_VALUE"""),"d")</f>
        <v>d</v>
      </c>
      <c r="J76" s="14" t="str">
        <f t="shared" si="1"/>
        <v>b</v>
      </c>
      <c r="K76" s="4" t="str">
        <f t="shared" si="2"/>
        <v>same</v>
      </c>
    </row>
    <row r="77" ht="15.75" customHeight="1">
      <c r="A77" s="4">
        <v>121003.0</v>
      </c>
      <c r="B77" s="10">
        <v>335001.0</v>
      </c>
      <c r="C77" s="4" t="s">
        <v>147</v>
      </c>
      <c r="F77" s="11">
        <f>IFERROR(__xludf.DUMMYFUNCTION("""COMPUTED_VALUE"""),121003.0)</f>
        <v>121003</v>
      </c>
      <c r="G77" s="12">
        <f>IFERROR(__xludf.DUMMYFUNCTION("""COMPUTED_VALUE"""),400705.0)</f>
        <v>400705</v>
      </c>
      <c r="H77" s="13" t="str">
        <f>IFERROR(__xludf.DUMMYFUNCTION("""COMPUTED_VALUE"""),"d")</f>
        <v>d</v>
      </c>
      <c r="J77" s="14" t="str">
        <f t="shared" si="1"/>
        <v>b</v>
      </c>
      <c r="K77" s="4" t="str">
        <f t="shared" si="2"/>
        <v>same</v>
      </c>
    </row>
    <row r="78" ht="15.75" customHeight="1">
      <c r="A78" s="4">
        <v>121003.0</v>
      </c>
      <c r="B78" s="10">
        <v>335001.0</v>
      </c>
      <c r="C78" s="4" t="s">
        <v>147</v>
      </c>
      <c r="F78" s="11">
        <f>IFERROR(__xludf.DUMMYFUNCTION("""COMPUTED_VALUE"""),121003.0)</f>
        <v>121003</v>
      </c>
      <c r="G78" s="12">
        <f>IFERROR(__xludf.DUMMYFUNCTION("""COMPUTED_VALUE"""),403401.0)</f>
        <v>403401</v>
      </c>
      <c r="H78" s="13" t="str">
        <f>IFERROR(__xludf.DUMMYFUNCTION("""COMPUTED_VALUE"""),"d")</f>
        <v>d</v>
      </c>
      <c r="J78" s="14" t="str">
        <f t="shared" si="1"/>
        <v>b</v>
      </c>
      <c r="K78" s="4" t="str">
        <f t="shared" si="2"/>
        <v>same</v>
      </c>
    </row>
    <row r="79" ht="15.75" customHeight="1">
      <c r="A79" s="4">
        <v>121003.0</v>
      </c>
      <c r="B79" s="10">
        <v>335502.0</v>
      </c>
      <c r="C79" s="4" t="s">
        <v>147</v>
      </c>
      <c r="F79" s="11">
        <f>IFERROR(__xludf.DUMMYFUNCTION("""COMPUTED_VALUE"""),121003.0)</f>
        <v>121003</v>
      </c>
      <c r="G79" s="12">
        <f>IFERROR(__xludf.DUMMYFUNCTION("""COMPUTED_VALUE"""),410206.0)</f>
        <v>410206</v>
      </c>
      <c r="H79" s="13" t="str">
        <f>IFERROR(__xludf.DUMMYFUNCTION("""COMPUTED_VALUE"""),"d")</f>
        <v>d</v>
      </c>
      <c r="J79" s="14" t="str">
        <f t="shared" si="1"/>
        <v>b</v>
      </c>
      <c r="K79" s="4" t="str">
        <f t="shared" si="2"/>
        <v>same</v>
      </c>
    </row>
    <row r="80" ht="15.75" customHeight="1">
      <c r="A80" s="4">
        <v>121003.0</v>
      </c>
      <c r="B80" s="10">
        <v>335512.0</v>
      </c>
      <c r="C80" s="4" t="s">
        <v>147</v>
      </c>
      <c r="F80" s="11">
        <f>IFERROR(__xludf.DUMMYFUNCTION("""COMPUTED_VALUE"""),121003.0)</f>
        <v>121003</v>
      </c>
      <c r="G80" s="12">
        <f>IFERROR(__xludf.DUMMYFUNCTION("""COMPUTED_VALUE"""),411014.0)</f>
        <v>411014</v>
      </c>
      <c r="H80" s="13" t="str">
        <f>IFERROR(__xludf.DUMMYFUNCTION("""COMPUTED_VALUE"""),"d")</f>
        <v>d</v>
      </c>
      <c r="J80" s="14" t="str">
        <f t="shared" si="1"/>
        <v>b</v>
      </c>
      <c r="K80" s="4" t="str">
        <f t="shared" si="2"/>
        <v>same</v>
      </c>
    </row>
    <row r="81" ht="15.75" customHeight="1">
      <c r="A81" s="4">
        <v>121003.0</v>
      </c>
      <c r="B81" s="10">
        <v>335803.0</v>
      </c>
      <c r="C81" s="4" t="s">
        <v>147</v>
      </c>
      <c r="F81" s="11">
        <f>IFERROR(__xludf.DUMMYFUNCTION("""COMPUTED_VALUE"""),121003.0)</f>
        <v>121003</v>
      </c>
      <c r="G81" s="12">
        <f>IFERROR(__xludf.DUMMYFUNCTION("""COMPUTED_VALUE"""),416010.0)</f>
        <v>416010</v>
      </c>
      <c r="H81" s="13" t="str">
        <f>IFERROR(__xludf.DUMMYFUNCTION("""COMPUTED_VALUE"""),"d")</f>
        <v>d</v>
      </c>
      <c r="J81" s="14" t="str">
        <f t="shared" si="1"/>
        <v>b</v>
      </c>
      <c r="K81" s="4" t="str">
        <f t="shared" si="2"/>
        <v>same</v>
      </c>
    </row>
    <row r="82" ht="15.75" customHeight="1">
      <c r="A82" s="4">
        <v>121003.0</v>
      </c>
      <c r="B82" s="10">
        <v>341001.0</v>
      </c>
      <c r="C82" s="4" t="s">
        <v>147</v>
      </c>
      <c r="F82" s="11">
        <f>IFERROR(__xludf.DUMMYFUNCTION("""COMPUTED_VALUE"""),121003.0)</f>
        <v>121003</v>
      </c>
      <c r="G82" s="12">
        <f>IFERROR(__xludf.DUMMYFUNCTION("""COMPUTED_VALUE"""),421204.0)</f>
        <v>421204</v>
      </c>
      <c r="H82" s="13" t="str">
        <f>IFERROR(__xludf.DUMMYFUNCTION("""COMPUTED_VALUE"""),"d")</f>
        <v>d</v>
      </c>
      <c r="J82" s="14" t="str">
        <f t="shared" si="1"/>
        <v>b</v>
      </c>
      <c r="K82" s="4" t="str">
        <f t="shared" si="2"/>
        <v>same</v>
      </c>
    </row>
    <row r="83" ht="15.75" customHeight="1">
      <c r="A83" s="4">
        <v>121003.0</v>
      </c>
      <c r="B83" s="10">
        <v>342008.0</v>
      </c>
      <c r="C83" s="4" t="s">
        <v>147</v>
      </c>
      <c r="F83" s="11">
        <f>IFERROR(__xludf.DUMMYFUNCTION("""COMPUTED_VALUE"""),121003.0)</f>
        <v>121003</v>
      </c>
      <c r="G83" s="12">
        <f>IFERROR(__xludf.DUMMYFUNCTION("""COMPUTED_VALUE"""),441601.0)</f>
        <v>441601</v>
      </c>
      <c r="H83" s="13" t="str">
        <f>IFERROR(__xludf.DUMMYFUNCTION("""COMPUTED_VALUE"""),"d")</f>
        <v>d</v>
      </c>
      <c r="J83" s="14" t="str">
        <f t="shared" si="1"/>
        <v>b</v>
      </c>
      <c r="K83" s="4" t="str">
        <f t="shared" si="2"/>
        <v>same</v>
      </c>
    </row>
    <row r="84" ht="15.75" customHeight="1">
      <c r="A84" s="4">
        <v>121003.0</v>
      </c>
      <c r="B84" s="10">
        <v>342012.0</v>
      </c>
      <c r="C84" s="4" t="s">
        <v>147</v>
      </c>
      <c r="F84" s="11">
        <f>IFERROR(__xludf.DUMMYFUNCTION("""COMPUTED_VALUE"""),121003.0)</f>
        <v>121003</v>
      </c>
      <c r="G84" s="12">
        <f>IFERROR(__xludf.DUMMYFUNCTION("""COMPUTED_VALUE"""),452001.0)</f>
        <v>452001</v>
      </c>
      <c r="H84" s="13" t="str">
        <f>IFERROR(__xludf.DUMMYFUNCTION("""COMPUTED_VALUE"""),"d")</f>
        <v>d</v>
      </c>
      <c r="J84" s="14" t="str">
        <f t="shared" si="1"/>
        <v>b</v>
      </c>
      <c r="K84" s="4" t="str">
        <f t="shared" si="2"/>
        <v>same</v>
      </c>
    </row>
    <row r="85" ht="15.75" customHeight="1">
      <c r="A85" s="4">
        <v>121003.0</v>
      </c>
      <c r="B85" s="10">
        <v>342014.0</v>
      </c>
      <c r="C85" s="4" t="s">
        <v>147</v>
      </c>
      <c r="F85" s="11">
        <f>IFERROR(__xludf.DUMMYFUNCTION("""COMPUTED_VALUE"""),121003.0)</f>
        <v>121003</v>
      </c>
      <c r="G85" s="12">
        <f>IFERROR(__xludf.DUMMYFUNCTION("""COMPUTED_VALUE"""),452018.0)</f>
        <v>452018</v>
      </c>
      <c r="H85" s="13" t="str">
        <f>IFERROR(__xludf.DUMMYFUNCTION("""COMPUTED_VALUE"""),"d")</f>
        <v>d</v>
      </c>
      <c r="J85" s="14" t="str">
        <f t="shared" si="1"/>
        <v>b</v>
      </c>
      <c r="K85" s="4" t="str">
        <f t="shared" si="2"/>
        <v>same</v>
      </c>
    </row>
    <row r="86" ht="15.75" customHeight="1">
      <c r="A86" s="4">
        <v>121003.0</v>
      </c>
      <c r="B86" s="10">
        <v>342301.0</v>
      </c>
      <c r="C86" s="4" t="s">
        <v>147</v>
      </c>
      <c r="F86" s="11">
        <f>IFERROR(__xludf.DUMMYFUNCTION("""COMPUTED_VALUE"""),121003.0)</f>
        <v>121003</v>
      </c>
      <c r="G86" s="12">
        <f>IFERROR(__xludf.DUMMYFUNCTION("""COMPUTED_VALUE"""),463106.0)</f>
        <v>463106</v>
      </c>
      <c r="H86" s="13" t="str">
        <f>IFERROR(__xludf.DUMMYFUNCTION("""COMPUTED_VALUE"""),"d")</f>
        <v>d</v>
      </c>
      <c r="J86" s="14" t="str">
        <f t="shared" si="1"/>
        <v>b</v>
      </c>
      <c r="K86" s="4" t="str">
        <f t="shared" si="2"/>
        <v>same</v>
      </c>
    </row>
    <row r="87" ht="15.75" customHeight="1">
      <c r="A87" s="4">
        <v>121003.0</v>
      </c>
      <c r="B87" s="10">
        <v>360005.0</v>
      </c>
      <c r="C87" s="4" t="s">
        <v>149</v>
      </c>
      <c r="F87" s="11">
        <f>IFERROR(__xludf.DUMMYFUNCTION("""COMPUTED_VALUE"""),121003.0)</f>
        <v>121003</v>
      </c>
      <c r="G87" s="12">
        <f>IFERROR(__xludf.DUMMYFUNCTION("""COMPUTED_VALUE"""),485001.0)</f>
        <v>485001</v>
      </c>
      <c r="H87" s="13" t="str">
        <f>IFERROR(__xludf.DUMMYFUNCTION("""COMPUTED_VALUE"""),"d")</f>
        <v>d</v>
      </c>
      <c r="J87" s="14" t="str">
        <f t="shared" si="1"/>
        <v>d</v>
      </c>
      <c r="K87" s="4" t="str">
        <f t="shared" si="2"/>
        <v>same</v>
      </c>
    </row>
    <row r="88" ht="15.75" customHeight="1">
      <c r="A88" s="4">
        <v>121003.0</v>
      </c>
      <c r="B88" s="10">
        <v>370201.0</v>
      </c>
      <c r="C88" s="4" t="s">
        <v>149</v>
      </c>
      <c r="F88" s="11">
        <f>IFERROR(__xludf.DUMMYFUNCTION("""COMPUTED_VALUE"""),121003.0)</f>
        <v>121003</v>
      </c>
      <c r="G88" s="12">
        <f>IFERROR(__xludf.DUMMYFUNCTION("""COMPUTED_VALUE"""),486661.0)</f>
        <v>486661</v>
      </c>
      <c r="H88" s="13" t="str">
        <f>IFERROR(__xludf.DUMMYFUNCTION("""COMPUTED_VALUE"""),"d")</f>
        <v>d</v>
      </c>
      <c r="J88" s="14" t="str">
        <f t="shared" si="1"/>
        <v>d</v>
      </c>
      <c r="K88" s="4" t="str">
        <f t="shared" si="2"/>
        <v>same</v>
      </c>
    </row>
    <row r="89" ht="15.75" customHeight="1">
      <c r="A89" s="4">
        <v>121003.0</v>
      </c>
      <c r="B89" s="10">
        <v>382830.0</v>
      </c>
      <c r="C89" s="4" t="s">
        <v>149</v>
      </c>
      <c r="F89" s="11">
        <f>IFERROR(__xludf.DUMMYFUNCTION("""COMPUTED_VALUE"""),121003.0)</f>
        <v>121003</v>
      </c>
      <c r="G89" s="12">
        <f>IFERROR(__xludf.DUMMYFUNCTION("""COMPUTED_VALUE"""),486886.0)</f>
        <v>486886</v>
      </c>
      <c r="H89" s="13" t="str">
        <f>IFERROR(__xludf.DUMMYFUNCTION("""COMPUTED_VALUE"""),"d")</f>
        <v>d</v>
      </c>
      <c r="J89" s="14" t="str">
        <f t="shared" si="1"/>
        <v>d</v>
      </c>
      <c r="K89" s="4" t="str">
        <f t="shared" si="2"/>
        <v>same</v>
      </c>
    </row>
    <row r="90" ht="15.75" customHeight="1">
      <c r="A90" s="4">
        <v>121003.0</v>
      </c>
      <c r="B90" s="10">
        <v>392150.0</v>
      </c>
      <c r="C90" s="4" t="s">
        <v>149</v>
      </c>
      <c r="F90" s="11">
        <f>IFERROR(__xludf.DUMMYFUNCTION("""COMPUTED_VALUE"""),121003.0)</f>
        <v>121003</v>
      </c>
      <c r="G90" s="12">
        <f>IFERROR(__xludf.DUMMYFUNCTION("""COMPUTED_VALUE"""),492001.0)</f>
        <v>492001</v>
      </c>
      <c r="H90" s="13" t="str">
        <f>IFERROR(__xludf.DUMMYFUNCTION("""COMPUTED_VALUE"""),"d")</f>
        <v>d</v>
      </c>
      <c r="J90" s="14" t="str">
        <f t="shared" si="1"/>
        <v>d</v>
      </c>
      <c r="K90" s="4" t="str">
        <f t="shared" si="2"/>
        <v>same</v>
      </c>
    </row>
    <row r="91" ht="15.75" customHeight="1">
      <c r="A91" s="4">
        <v>121003.0</v>
      </c>
      <c r="B91" s="10">
        <v>394210.0</v>
      </c>
      <c r="C91" s="4" t="s">
        <v>149</v>
      </c>
      <c r="F91" s="11">
        <f>IFERROR(__xludf.DUMMYFUNCTION("""COMPUTED_VALUE"""),121003.0)</f>
        <v>121003</v>
      </c>
      <c r="G91" s="12">
        <f>IFERROR(__xludf.DUMMYFUNCTION("""COMPUTED_VALUE"""),495671.0)</f>
        <v>495671</v>
      </c>
      <c r="H91" s="13" t="str">
        <f>IFERROR(__xludf.DUMMYFUNCTION("""COMPUTED_VALUE"""),"d")</f>
        <v>d</v>
      </c>
      <c r="J91" s="14" t="str">
        <f t="shared" si="1"/>
        <v>d</v>
      </c>
      <c r="K91" s="4" t="str">
        <f t="shared" si="2"/>
        <v>same</v>
      </c>
    </row>
    <row r="92" ht="15.75" customHeight="1">
      <c r="A92" s="4">
        <v>121003.0</v>
      </c>
      <c r="B92" s="10">
        <v>396001.0</v>
      </c>
      <c r="C92" s="4" t="s">
        <v>149</v>
      </c>
      <c r="F92" s="11">
        <f>IFERROR(__xludf.DUMMYFUNCTION("""COMPUTED_VALUE"""),121003.0)</f>
        <v>121003</v>
      </c>
      <c r="G92" s="12">
        <f>IFERROR(__xludf.DUMMYFUNCTION("""COMPUTED_VALUE"""),507101.0)</f>
        <v>507101</v>
      </c>
      <c r="H92" s="13" t="str">
        <f>IFERROR(__xludf.DUMMYFUNCTION("""COMPUTED_VALUE"""),"d")</f>
        <v>d</v>
      </c>
      <c r="J92" s="14" t="str">
        <f t="shared" si="1"/>
        <v>d</v>
      </c>
      <c r="K92" s="4" t="str">
        <f t="shared" si="2"/>
        <v>same</v>
      </c>
    </row>
    <row r="93" ht="15.75" customHeight="1">
      <c r="A93" s="4">
        <v>121003.0</v>
      </c>
      <c r="B93" s="10">
        <v>400705.0</v>
      </c>
      <c r="C93" s="4" t="s">
        <v>149</v>
      </c>
      <c r="F93" s="11">
        <f>IFERROR(__xludf.DUMMYFUNCTION("""COMPUTED_VALUE"""),121003.0)</f>
        <v>121003</v>
      </c>
      <c r="G93" s="12">
        <f>IFERROR(__xludf.DUMMYFUNCTION("""COMPUTED_VALUE"""),515591.0)</f>
        <v>515591</v>
      </c>
      <c r="H93" s="13" t="str">
        <f>IFERROR(__xludf.DUMMYFUNCTION("""COMPUTED_VALUE"""),"d")</f>
        <v>d</v>
      </c>
      <c r="J93" s="14" t="str">
        <f t="shared" si="1"/>
        <v>d</v>
      </c>
      <c r="K93" s="4" t="str">
        <f t="shared" si="2"/>
        <v>same</v>
      </c>
    </row>
    <row r="94" ht="15.75" customHeight="1">
      <c r="A94" s="4">
        <v>121003.0</v>
      </c>
      <c r="B94" s="10">
        <v>403401.0</v>
      </c>
      <c r="C94" s="4" t="s">
        <v>149</v>
      </c>
      <c r="F94" s="11">
        <f>IFERROR(__xludf.DUMMYFUNCTION("""COMPUTED_VALUE"""),121003.0)</f>
        <v>121003</v>
      </c>
      <c r="G94" s="12">
        <f>IFERROR(__xludf.DUMMYFUNCTION("""COMPUTED_VALUE"""),516503.0)</f>
        <v>516503</v>
      </c>
      <c r="H94" s="13" t="str">
        <f>IFERROR(__xludf.DUMMYFUNCTION("""COMPUTED_VALUE"""),"d")</f>
        <v>d</v>
      </c>
      <c r="J94" s="14" t="str">
        <f t="shared" si="1"/>
        <v>d</v>
      </c>
      <c r="K94" s="4" t="str">
        <f t="shared" si="2"/>
        <v>same</v>
      </c>
    </row>
    <row r="95" ht="15.75" customHeight="1">
      <c r="A95" s="4">
        <v>121003.0</v>
      </c>
      <c r="B95" s="10">
        <v>410206.0</v>
      </c>
      <c r="C95" s="4" t="s">
        <v>149</v>
      </c>
      <c r="F95" s="11">
        <f>IFERROR(__xludf.DUMMYFUNCTION("""COMPUTED_VALUE"""),121003.0)</f>
        <v>121003</v>
      </c>
      <c r="G95" s="12">
        <f>IFERROR(__xludf.DUMMYFUNCTION("""COMPUTED_VALUE"""),517128.0)</f>
        <v>517128</v>
      </c>
      <c r="H95" s="13" t="str">
        <f>IFERROR(__xludf.DUMMYFUNCTION("""COMPUTED_VALUE"""),"d")</f>
        <v>d</v>
      </c>
      <c r="J95" s="14" t="str">
        <f t="shared" si="1"/>
        <v>d</v>
      </c>
      <c r="K95" s="4" t="str">
        <f t="shared" si="2"/>
        <v>same</v>
      </c>
    </row>
    <row r="96" ht="15.75" customHeight="1">
      <c r="A96" s="4">
        <v>121003.0</v>
      </c>
      <c r="B96" s="10">
        <v>411014.0</v>
      </c>
      <c r="C96" s="4" t="s">
        <v>149</v>
      </c>
      <c r="F96" s="11">
        <f>IFERROR(__xludf.DUMMYFUNCTION("""COMPUTED_VALUE"""),121003.0)</f>
        <v>121003</v>
      </c>
      <c r="G96" s="12">
        <f>IFERROR(__xludf.DUMMYFUNCTION("""COMPUTED_VALUE"""),532484.0)</f>
        <v>532484</v>
      </c>
      <c r="H96" s="13" t="str">
        <f>IFERROR(__xludf.DUMMYFUNCTION("""COMPUTED_VALUE"""),"d")</f>
        <v>d</v>
      </c>
      <c r="J96" s="14" t="str">
        <f t="shared" si="1"/>
        <v>d</v>
      </c>
      <c r="K96" s="4" t="str">
        <f t="shared" si="2"/>
        <v>same</v>
      </c>
    </row>
    <row r="97" ht="15.75" customHeight="1">
      <c r="A97" s="4">
        <v>121003.0</v>
      </c>
      <c r="B97" s="10">
        <v>416010.0</v>
      </c>
      <c r="C97" s="4" t="s">
        <v>149</v>
      </c>
      <c r="F97" s="11">
        <f>IFERROR(__xludf.DUMMYFUNCTION("""COMPUTED_VALUE"""),121003.0)</f>
        <v>121003</v>
      </c>
      <c r="G97" s="12">
        <f>IFERROR(__xludf.DUMMYFUNCTION("""COMPUTED_VALUE"""),562110.0)</f>
        <v>562110</v>
      </c>
      <c r="H97" s="13" t="str">
        <f>IFERROR(__xludf.DUMMYFUNCTION("""COMPUTED_VALUE"""),"d")</f>
        <v>d</v>
      </c>
      <c r="J97" s="14" t="str">
        <f t="shared" si="1"/>
        <v>d</v>
      </c>
      <c r="K97" s="4" t="str">
        <f t="shared" si="2"/>
        <v>same</v>
      </c>
    </row>
    <row r="98" ht="15.75" customHeight="1">
      <c r="A98" s="4">
        <v>121003.0</v>
      </c>
      <c r="B98" s="10">
        <v>421204.0</v>
      </c>
      <c r="C98" s="4" t="s">
        <v>149</v>
      </c>
      <c r="F98" s="11">
        <f>IFERROR(__xludf.DUMMYFUNCTION("""COMPUTED_VALUE"""),121003.0)</f>
        <v>121003</v>
      </c>
      <c r="G98" s="12">
        <f>IFERROR(__xludf.DUMMYFUNCTION("""COMPUTED_VALUE"""),580007.0)</f>
        <v>580007</v>
      </c>
      <c r="H98" s="13" t="str">
        <f>IFERROR(__xludf.DUMMYFUNCTION("""COMPUTED_VALUE"""),"d")</f>
        <v>d</v>
      </c>
      <c r="J98" s="14" t="str">
        <f t="shared" si="1"/>
        <v>d</v>
      </c>
      <c r="K98" s="4" t="str">
        <f t="shared" si="2"/>
        <v>same</v>
      </c>
    </row>
    <row r="99" ht="15.75" customHeight="1">
      <c r="A99" s="4">
        <v>121003.0</v>
      </c>
      <c r="B99" s="10">
        <v>441601.0</v>
      </c>
      <c r="C99" s="4" t="s">
        <v>149</v>
      </c>
      <c r="F99" s="11">
        <f>IFERROR(__xludf.DUMMYFUNCTION("""COMPUTED_VALUE"""),121003.0)</f>
        <v>121003</v>
      </c>
      <c r="G99" s="12">
        <f>IFERROR(__xludf.DUMMYFUNCTION("""COMPUTED_VALUE"""),673002.0)</f>
        <v>673002</v>
      </c>
      <c r="H99" s="13" t="str">
        <f>IFERROR(__xludf.DUMMYFUNCTION("""COMPUTED_VALUE"""),"e")</f>
        <v>e</v>
      </c>
      <c r="J99" s="14" t="str">
        <f t="shared" si="1"/>
        <v>d</v>
      </c>
      <c r="K99" s="4" t="str">
        <f t="shared" si="2"/>
        <v>same</v>
      </c>
    </row>
    <row r="100" ht="15.75" customHeight="1">
      <c r="A100" s="4">
        <v>121003.0</v>
      </c>
      <c r="B100" s="10">
        <v>452001.0</v>
      </c>
      <c r="C100" s="4" t="s">
        <v>149</v>
      </c>
      <c r="F100" s="11">
        <f>IFERROR(__xludf.DUMMYFUNCTION("""COMPUTED_VALUE"""),121003.0)</f>
        <v>121003</v>
      </c>
      <c r="G100" s="12">
        <f>IFERROR(__xludf.DUMMYFUNCTION("""COMPUTED_VALUE"""),711106.0)</f>
        <v>711106</v>
      </c>
      <c r="H100" s="13" t="str">
        <f>IFERROR(__xludf.DUMMYFUNCTION("""COMPUTED_VALUE"""),"d")</f>
        <v>d</v>
      </c>
      <c r="J100" s="14" t="str">
        <f t="shared" si="1"/>
        <v>d</v>
      </c>
      <c r="K100" s="4" t="str">
        <f t="shared" si="2"/>
        <v>same</v>
      </c>
    </row>
    <row r="101" ht="15.75" customHeight="1">
      <c r="A101" s="4">
        <v>121003.0</v>
      </c>
      <c r="B101" s="10">
        <v>452018.0</v>
      </c>
      <c r="C101" s="4" t="s">
        <v>149</v>
      </c>
      <c r="F101" s="11">
        <f>IFERROR(__xludf.DUMMYFUNCTION("""COMPUTED_VALUE"""),121003.0)</f>
        <v>121003</v>
      </c>
      <c r="G101" s="12">
        <f>IFERROR(__xludf.DUMMYFUNCTION("""COMPUTED_VALUE"""),711303.0)</f>
        <v>711303</v>
      </c>
      <c r="H101" s="13" t="str">
        <f>IFERROR(__xludf.DUMMYFUNCTION("""COMPUTED_VALUE"""),"d")</f>
        <v>d</v>
      </c>
      <c r="J101" s="14" t="str">
        <f t="shared" si="1"/>
        <v>d</v>
      </c>
      <c r="K101" s="4" t="str">
        <f t="shared" si="2"/>
        <v>same</v>
      </c>
    </row>
    <row r="102" ht="15.75" customHeight="1">
      <c r="A102" s="4">
        <v>121003.0</v>
      </c>
      <c r="B102" s="10">
        <v>463106.0</v>
      </c>
      <c r="C102" s="4" t="s">
        <v>149</v>
      </c>
      <c r="F102" s="11">
        <f>IFERROR(__xludf.DUMMYFUNCTION("""COMPUTED_VALUE"""),121003.0)</f>
        <v>121003</v>
      </c>
      <c r="G102" s="12">
        <f>IFERROR(__xludf.DUMMYFUNCTION("""COMPUTED_VALUE"""),721636.0)</f>
        <v>721636</v>
      </c>
      <c r="H102" s="13" t="str">
        <f>IFERROR(__xludf.DUMMYFUNCTION("""COMPUTED_VALUE"""),"d")</f>
        <v>d</v>
      </c>
      <c r="J102" s="14" t="str">
        <f t="shared" si="1"/>
        <v>d</v>
      </c>
      <c r="K102" s="4" t="str">
        <f t="shared" si="2"/>
        <v>same</v>
      </c>
    </row>
    <row r="103" ht="15.75" customHeight="1">
      <c r="A103" s="4">
        <v>121003.0</v>
      </c>
      <c r="B103" s="10">
        <v>485001.0</v>
      </c>
      <c r="C103" s="4" t="s">
        <v>149</v>
      </c>
      <c r="F103" s="11">
        <f>IFERROR(__xludf.DUMMYFUNCTION("""COMPUTED_VALUE"""),121003.0)</f>
        <v>121003</v>
      </c>
      <c r="G103" s="12">
        <f>IFERROR(__xludf.DUMMYFUNCTION("""COMPUTED_VALUE"""),723146.0)</f>
        <v>723146</v>
      </c>
      <c r="H103" s="13" t="str">
        <f>IFERROR(__xludf.DUMMYFUNCTION("""COMPUTED_VALUE"""),"d")</f>
        <v>d</v>
      </c>
      <c r="J103" s="14" t="str">
        <f t="shared" si="1"/>
        <v>d</v>
      </c>
      <c r="K103" s="4" t="str">
        <f t="shared" si="2"/>
        <v>same</v>
      </c>
    </row>
    <row r="104" ht="15.75" customHeight="1">
      <c r="A104" s="4">
        <v>121003.0</v>
      </c>
      <c r="B104" s="10">
        <v>486661.0</v>
      </c>
      <c r="C104" s="4" t="s">
        <v>149</v>
      </c>
      <c r="F104" s="11">
        <f>IFERROR(__xludf.DUMMYFUNCTION("""COMPUTED_VALUE"""),121003.0)</f>
        <v>121003</v>
      </c>
      <c r="G104" s="12">
        <f>IFERROR(__xludf.DUMMYFUNCTION("""COMPUTED_VALUE"""),742103.0)</f>
        <v>742103</v>
      </c>
      <c r="H104" s="13" t="str">
        <f>IFERROR(__xludf.DUMMYFUNCTION("""COMPUTED_VALUE"""),"d")</f>
        <v>d</v>
      </c>
      <c r="J104" s="14" t="str">
        <f t="shared" si="1"/>
        <v>d</v>
      </c>
      <c r="K104" s="4" t="str">
        <f t="shared" si="2"/>
        <v>same</v>
      </c>
    </row>
    <row r="105" ht="15.75" customHeight="1">
      <c r="A105" s="4">
        <v>121003.0</v>
      </c>
      <c r="B105" s="10">
        <v>486886.0</v>
      </c>
      <c r="C105" s="4" t="s">
        <v>149</v>
      </c>
      <c r="F105" s="11">
        <f>IFERROR(__xludf.DUMMYFUNCTION("""COMPUTED_VALUE"""),121003.0)</f>
        <v>121003</v>
      </c>
      <c r="G105" s="12">
        <f>IFERROR(__xludf.DUMMYFUNCTION("""COMPUTED_VALUE"""),743263.0)</f>
        <v>743263</v>
      </c>
      <c r="H105" s="13" t="str">
        <f>IFERROR(__xludf.DUMMYFUNCTION("""COMPUTED_VALUE"""),"d")</f>
        <v>d</v>
      </c>
      <c r="J105" s="14" t="str">
        <f t="shared" si="1"/>
        <v>d</v>
      </c>
      <c r="K105" s="4" t="str">
        <f t="shared" si="2"/>
        <v>same</v>
      </c>
    </row>
    <row r="106" ht="15.75" customHeight="1">
      <c r="A106" s="4">
        <v>121003.0</v>
      </c>
      <c r="B106" s="10">
        <v>492001.0</v>
      </c>
      <c r="C106" s="4" t="s">
        <v>149</v>
      </c>
      <c r="F106" s="11">
        <f>IFERROR(__xludf.DUMMYFUNCTION("""COMPUTED_VALUE"""),121003.0)</f>
        <v>121003</v>
      </c>
      <c r="G106" s="12">
        <f>IFERROR(__xludf.DUMMYFUNCTION("""COMPUTED_VALUE"""),783301.0)</f>
        <v>783301</v>
      </c>
      <c r="H106" s="13" t="str">
        <f>IFERROR(__xludf.DUMMYFUNCTION("""COMPUTED_VALUE"""),"e")</f>
        <v>e</v>
      </c>
      <c r="J106" s="14" t="str">
        <f t="shared" si="1"/>
        <v>d</v>
      </c>
      <c r="K106" s="4" t="str">
        <f t="shared" si="2"/>
        <v>same</v>
      </c>
    </row>
    <row r="107" ht="15.75" customHeight="1">
      <c r="A107" s="4">
        <v>121003.0</v>
      </c>
      <c r="B107" s="10">
        <v>495671.0</v>
      </c>
      <c r="C107" s="4" t="s">
        <v>149</v>
      </c>
      <c r="F107" s="11">
        <f>IFERROR(__xludf.DUMMYFUNCTION("""COMPUTED_VALUE"""),121003.0)</f>
        <v>121003</v>
      </c>
      <c r="G107" s="12">
        <f>IFERROR(__xludf.DUMMYFUNCTION("""COMPUTED_VALUE"""),831002.0)</f>
        <v>831002</v>
      </c>
      <c r="H107" s="13" t="str">
        <f>IFERROR(__xludf.DUMMYFUNCTION("""COMPUTED_VALUE"""),"d")</f>
        <v>d</v>
      </c>
      <c r="J107" s="14" t="str">
        <f t="shared" si="1"/>
        <v>d</v>
      </c>
      <c r="K107" s="4" t="str">
        <f t="shared" si="2"/>
        <v>same</v>
      </c>
    </row>
    <row r="108" ht="15.75" customHeight="1">
      <c r="A108" s="4">
        <v>121003.0</v>
      </c>
      <c r="B108" s="10">
        <v>507101.0</v>
      </c>
      <c r="C108" s="4" t="s">
        <v>149</v>
      </c>
      <c r="F108" s="11">
        <f>IFERROR(__xludf.DUMMYFUNCTION("""COMPUTED_VALUE"""),121003.0)</f>
        <v>121003</v>
      </c>
      <c r="G108" s="12">
        <f>IFERROR(__xludf.DUMMYFUNCTION("""COMPUTED_VALUE"""),831006.0)</f>
        <v>831006</v>
      </c>
      <c r="H108" s="13" t="str">
        <f>IFERROR(__xludf.DUMMYFUNCTION("""COMPUTED_VALUE"""),"d")</f>
        <v>d</v>
      </c>
      <c r="J108" s="14" t="str">
        <f t="shared" si="1"/>
        <v>d</v>
      </c>
      <c r="K108" s="4" t="str">
        <f t="shared" si="2"/>
        <v>same</v>
      </c>
    </row>
    <row r="109" ht="15.75" customHeight="1">
      <c r="A109" s="4">
        <v>121003.0</v>
      </c>
      <c r="B109" s="10">
        <v>515591.0</v>
      </c>
      <c r="C109" s="4" t="s">
        <v>149</v>
      </c>
      <c r="F109" s="11">
        <f>IFERROR(__xludf.DUMMYFUNCTION("""COMPUTED_VALUE"""),121003.0)</f>
        <v>121003</v>
      </c>
      <c r="G109" s="12">
        <f>IFERROR(__xludf.DUMMYFUNCTION("""COMPUTED_VALUE"""),845438.0)</f>
        <v>845438</v>
      </c>
      <c r="H109" s="13" t="str">
        <f>IFERROR(__xludf.DUMMYFUNCTION("""COMPUTED_VALUE"""),"d")</f>
        <v>d</v>
      </c>
      <c r="J109" s="14" t="str">
        <f t="shared" si="1"/>
        <v>d</v>
      </c>
      <c r="K109" s="4" t="str">
        <f t="shared" si="2"/>
        <v>same</v>
      </c>
    </row>
    <row r="110" ht="15.75" customHeight="1">
      <c r="A110" s="4">
        <v>121003.0</v>
      </c>
      <c r="B110" s="10">
        <v>516503.0</v>
      </c>
      <c r="C110" s="4" t="s">
        <v>149</v>
      </c>
      <c r="J110" s="14" t="str">
        <f t="shared" si="1"/>
        <v>d</v>
      </c>
      <c r="K110" s="4" t="str">
        <f t="shared" si="2"/>
        <v>same</v>
      </c>
    </row>
    <row r="111" ht="15.75" customHeight="1">
      <c r="A111" s="4">
        <v>121003.0</v>
      </c>
      <c r="B111" s="10">
        <v>517128.0</v>
      </c>
      <c r="C111" s="4" t="s">
        <v>149</v>
      </c>
      <c r="J111" s="14" t="str">
        <f t="shared" si="1"/>
        <v>d</v>
      </c>
      <c r="K111" s="4" t="str">
        <f t="shared" si="2"/>
        <v>same</v>
      </c>
    </row>
    <row r="112" ht="15.75" customHeight="1">
      <c r="A112" s="4">
        <v>121003.0</v>
      </c>
      <c r="B112" s="10">
        <v>532484.0</v>
      </c>
      <c r="C112" s="4" t="s">
        <v>149</v>
      </c>
      <c r="J112" s="14" t="str">
        <f t="shared" si="1"/>
        <v>d</v>
      </c>
      <c r="K112" s="4" t="str">
        <f t="shared" si="2"/>
        <v>same</v>
      </c>
    </row>
    <row r="113" ht="15.75" customHeight="1">
      <c r="A113" s="4">
        <v>121003.0</v>
      </c>
      <c r="B113" s="10">
        <v>562110.0</v>
      </c>
      <c r="C113" s="4" t="s">
        <v>149</v>
      </c>
      <c r="J113" s="14" t="str">
        <f t="shared" si="1"/>
        <v>d</v>
      </c>
      <c r="K113" s="4" t="str">
        <f t="shared" si="2"/>
        <v>same</v>
      </c>
    </row>
    <row r="114" ht="15.75" customHeight="1">
      <c r="A114" s="4">
        <v>121003.0</v>
      </c>
      <c r="B114" s="10">
        <v>580007.0</v>
      </c>
      <c r="C114" s="4" t="s">
        <v>149</v>
      </c>
      <c r="J114" s="14" t="str">
        <f t="shared" si="1"/>
        <v>d</v>
      </c>
      <c r="K114" s="4" t="str">
        <f t="shared" si="2"/>
        <v>same</v>
      </c>
    </row>
    <row r="115" ht="15.75" customHeight="1">
      <c r="A115" s="4">
        <v>121003.0</v>
      </c>
      <c r="B115" s="10">
        <v>673002.0</v>
      </c>
      <c r="C115" s="4" t="s">
        <v>148</v>
      </c>
      <c r="J115" s="14" t="str">
        <f t="shared" si="1"/>
        <v>e</v>
      </c>
      <c r="K115" s="4" t="str">
        <f t="shared" si="2"/>
        <v>same</v>
      </c>
    </row>
    <row r="116" ht="15.75" customHeight="1">
      <c r="A116" s="4">
        <v>121003.0</v>
      </c>
      <c r="B116" s="10">
        <v>711106.0</v>
      </c>
      <c r="C116" s="4" t="s">
        <v>149</v>
      </c>
      <c r="J116" s="14" t="str">
        <f t="shared" si="1"/>
        <v>d</v>
      </c>
      <c r="K116" s="4" t="str">
        <f t="shared" si="2"/>
        <v>same</v>
      </c>
    </row>
    <row r="117" ht="15.75" customHeight="1">
      <c r="A117" s="4">
        <v>121003.0</v>
      </c>
      <c r="B117" s="10">
        <v>711303.0</v>
      </c>
      <c r="C117" s="4" t="s">
        <v>149</v>
      </c>
      <c r="J117" s="14" t="str">
        <f t="shared" si="1"/>
        <v>d</v>
      </c>
      <c r="K117" s="4" t="str">
        <f t="shared" si="2"/>
        <v>same</v>
      </c>
    </row>
    <row r="118" ht="15.75" customHeight="1">
      <c r="A118" s="4">
        <v>121003.0</v>
      </c>
      <c r="B118" s="10">
        <v>721636.0</v>
      </c>
      <c r="C118" s="4" t="s">
        <v>149</v>
      </c>
      <c r="J118" s="14" t="str">
        <f t="shared" si="1"/>
        <v>d</v>
      </c>
      <c r="K118" s="4" t="str">
        <f t="shared" si="2"/>
        <v>same</v>
      </c>
    </row>
    <row r="119" ht="15.75" customHeight="1">
      <c r="A119" s="4">
        <v>121003.0</v>
      </c>
      <c r="B119" s="10">
        <v>723146.0</v>
      </c>
      <c r="C119" s="4" t="s">
        <v>149</v>
      </c>
      <c r="J119" s="14" t="str">
        <f t="shared" si="1"/>
        <v>d</v>
      </c>
      <c r="K119" s="4" t="str">
        <f t="shared" si="2"/>
        <v>same</v>
      </c>
    </row>
    <row r="120" ht="15.75" customHeight="1">
      <c r="A120" s="4">
        <v>121003.0</v>
      </c>
      <c r="B120" s="10">
        <v>742103.0</v>
      </c>
      <c r="C120" s="4" t="s">
        <v>149</v>
      </c>
      <c r="J120" s="14" t="str">
        <f t="shared" si="1"/>
        <v>d</v>
      </c>
      <c r="K120" s="4" t="str">
        <f t="shared" si="2"/>
        <v>same</v>
      </c>
    </row>
    <row r="121" ht="15.75" customHeight="1">
      <c r="A121" s="4">
        <v>121003.0</v>
      </c>
      <c r="B121" s="10">
        <v>743263.0</v>
      </c>
      <c r="C121" s="4" t="s">
        <v>149</v>
      </c>
      <c r="J121" s="14" t="str">
        <f t="shared" si="1"/>
        <v>d</v>
      </c>
      <c r="K121" s="4" t="str">
        <f t="shared" si="2"/>
        <v>same</v>
      </c>
    </row>
    <row r="122" ht="15.75" customHeight="1">
      <c r="A122" s="4">
        <v>121003.0</v>
      </c>
      <c r="B122" s="10">
        <v>783301.0</v>
      </c>
      <c r="C122" s="4" t="s">
        <v>148</v>
      </c>
      <c r="J122" s="14" t="str">
        <f t="shared" si="1"/>
        <v>e</v>
      </c>
      <c r="K122" s="4" t="str">
        <f t="shared" si="2"/>
        <v>same</v>
      </c>
    </row>
    <row r="123" ht="15.75" customHeight="1">
      <c r="A123" s="4">
        <v>121003.0</v>
      </c>
      <c r="B123" s="10">
        <v>831002.0</v>
      </c>
      <c r="C123" s="4" t="s">
        <v>149</v>
      </c>
      <c r="J123" s="14" t="str">
        <f t="shared" si="1"/>
        <v>d</v>
      </c>
      <c r="K123" s="4" t="str">
        <f t="shared" si="2"/>
        <v>same</v>
      </c>
    </row>
    <row r="124" ht="15.75" customHeight="1">
      <c r="A124" s="4">
        <v>121003.0</v>
      </c>
      <c r="B124" s="10">
        <v>831006.0</v>
      </c>
      <c r="C124" s="4" t="s">
        <v>149</v>
      </c>
      <c r="J124" s="14" t="str">
        <f t="shared" si="1"/>
        <v>d</v>
      </c>
      <c r="K124" s="4" t="str">
        <f t="shared" si="2"/>
        <v>same</v>
      </c>
    </row>
    <row r="125" ht="15.75" customHeight="1">
      <c r="A125" s="4">
        <v>121003.0</v>
      </c>
      <c r="B125" s="10">
        <v>845438.0</v>
      </c>
      <c r="C125" s="4" t="s">
        <v>149</v>
      </c>
      <c r="J125" s="14" t="str">
        <f t="shared" si="1"/>
        <v>d</v>
      </c>
      <c r="K125" s="4" t="str">
        <f t="shared" si="2"/>
        <v>same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1.71"/>
    <col customWidth="1" min="3" max="3" width="15.0"/>
    <col customWidth="1" min="4" max="4" width="19.0"/>
    <col customWidth="1" min="5" max="5" width="17.43"/>
    <col customWidth="1" min="6" max="6" width="5.43"/>
    <col customWidth="1" min="7" max="7" width="23.57"/>
    <col customWidth="1" min="8" max="8" width="29.29"/>
    <col customWidth="1" min="9" max="10" width="8.71"/>
    <col customWidth="1" min="12" max="13" width="8.71"/>
    <col customWidth="1" min="14" max="14" width="11.0"/>
    <col customWidth="1" min="15" max="26" width="8.71"/>
  </cols>
  <sheetData>
    <row r="1">
      <c r="A1" s="1" t="s">
        <v>150</v>
      </c>
      <c r="B1" s="1" t="s">
        <v>151</v>
      </c>
      <c r="C1" s="1" t="s">
        <v>152</v>
      </c>
      <c r="D1" s="1" t="s">
        <v>142</v>
      </c>
      <c r="E1" s="1" t="s">
        <v>143</v>
      </c>
      <c r="F1" s="1" t="s">
        <v>144</v>
      </c>
      <c r="G1" s="1" t="s">
        <v>153</v>
      </c>
      <c r="H1" s="1" t="s">
        <v>154</v>
      </c>
      <c r="N1" s="9"/>
    </row>
    <row r="2">
      <c r="A2" s="4" t="s">
        <v>155</v>
      </c>
      <c r="B2" s="4" t="s">
        <v>8</v>
      </c>
      <c r="C2" s="15">
        <v>2.92</v>
      </c>
      <c r="D2" s="4">
        <v>121003.0</v>
      </c>
      <c r="E2" s="4" t="s">
        <v>156</v>
      </c>
      <c r="F2" s="4" t="s">
        <v>147</v>
      </c>
      <c r="G2" s="4" t="s">
        <v>157</v>
      </c>
      <c r="H2" s="16">
        <v>174.5</v>
      </c>
    </row>
    <row r="3">
      <c r="A3" s="4" t="s">
        <v>158</v>
      </c>
      <c r="B3" s="4" t="s">
        <v>9</v>
      </c>
      <c r="C3" s="15">
        <v>0.68</v>
      </c>
      <c r="D3" s="4">
        <v>121003.0</v>
      </c>
      <c r="E3" s="4" t="s">
        <v>159</v>
      </c>
      <c r="F3" s="4" t="s">
        <v>149</v>
      </c>
      <c r="G3" s="4" t="s">
        <v>157</v>
      </c>
      <c r="H3" s="16">
        <v>90.2</v>
      </c>
    </row>
    <row r="4">
      <c r="A4" s="4" t="s">
        <v>160</v>
      </c>
      <c r="B4" s="4" t="s">
        <v>10</v>
      </c>
      <c r="C4" s="15">
        <v>0.71</v>
      </c>
      <c r="D4" s="4">
        <v>121003.0</v>
      </c>
      <c r="E4" s="4" t="s">
        <v>161</v>
      </c>
      <c r="F4" s="4" t="s">
        <v>149</v>
      </c>
      <c r="G4" s="4" t="s">
        <v>157</v>
      </c>
      <c r="H4" s="16">
        <v>90.2</v>
      </c>
    </row>
    <row r="5">
      <c r="A5" s="4" t="s">
        <v>162</v>
      </c>
      <c r="B5" s="4" t="s">
        <v>11</v>
      </c>
      <c r="C5" s="15">
        <v>1.3</v>
      </c>
      <c r="D5" s="4">
        <v>121003.0</v>
      </c>
      <c r="E5" s="4" t="s">
        <v>163</v>
      </c>
      <c r="F5" s="4" t="s">
        <v>149</v>
      </c>
      <c r="G5" s="4" t="s">
        <v>157</v>
      </c>
      <c r="H5" s="16">
        <v>135.0</v>
      </c>
    </row>
    <row r="6">
      <c r="A6" s="4" t="s">
        <v>164</v>
      </c>
      <c r="B6" s="4" t="s">
        <v>12</v>
      </c>
      <c r="C6" s="15">
        <v>0.78</v>
      </c>
      <c r="D6" s="4">
        <v>121003.0</v>
      </c>
      <c r="E6" s="4" t="s">
        <v>165</v>
      </c>
      <c r="F6" s="4" t="s">
        <v>147</v>
      </c>
      <c r="G6" s="4" t="s">
        <v>157</v>
      </c>
      <c r="H6" s="16">
        <v>61.3</v>
      </c>
    </row>
    <row r="7">
      <c r="A7" s="4" t="s">
        <v>166</v>
      </c>
      <c r="B7" s="4" t="s">
        <v>14</v>
      </c>
      <c r="C7" s="15">
        <v>1.27</v>
      </c>
      <c r="D7" s="4">
        <v>121003.0</v>
      </c>
      <c r="E7" s="4" t="s">
        <v>167</v>
      </c>
      <c r="F7" s="4" t="s">
        <v>149</v>
      </c>
      <c r="G7" s="4" t="s">
        <v>157</v>
      </c>
      <c r="H7" s="16">
        <v>135.0</v>
      </c>
    </row>
    <row r="8">
      <c r="A8" s="4" t="s">
        <v>168</v>
      </c>
      <c r="B8" s="4" t="s">
        <v>16</v>
      </c>
      <c r="C8" s="15">
        <v>1.0</v>
      </c>
      <c r="D8" s="4">
        <v>121003.0</v>
      </c>
      <c r="E8" s="4" t="s">
        <v>169</v>
      </c>
      <c r="F8" s="4" t="s">
        <v>149</v>
      </c>
      <c r="G8" s="4" t="s">
        <v>157</v>
      </c>
      <c r="H8" s="16">
        <v>90.2</v>
      </c>
    </row>
    <row r="9">
      <c r="A9" s="4" t="s">
        <v>170</v>
      </c>
      <c r="B9" s="4" t="s">
        <v>18</v>
      </c>
      <c r="C9" s="15">
        <v>0.71</v>
      </c>
      <c r="D9" s="4">
        <v>121003.0</v>
      </c>
      <c r="E9" s="4" t="s">
        <v>171</v>
      </c>
      <c r="F9" s="4" t="s">
        <v>149</v>
      </c>
      <c r="G9" s="4" t="s">
        <v>157</v>
      </c>
      <c r="H9" s="16">
        <v>90.2</v>
      </c>
    </row>
    <row r="10">
      <c r="A10" s="4" t="s">
        <v>172</v>
      </c>
      <c r="B10" s="4" t="s">
        <v>21</v>
      </c>
      <c r="C10" s="15">
        <v>0.7</v>
      </c>
      <c r="D10" s="4">
        <v>121003.0</v>
      </c>
      <c r="E10" s="4" t="s">
        <v>173</v>
      </c>
      <c r="F10" s="4" t="s">
        <v>149</v>
      </c>
      <c r="G10" s="4" t="s">
        <v>157</v>
      </c>
      <c r="H10" s="16">
        <v>90.2</v>
      </c>
    </row>
    <row r="11">
      <c r="A11" s="4" t="s">
        <v>174</v>
      </c>
      <c r="B11" s="4" t="s">
        <v>22</v>
      </c>
      <c r="C11" s="15">
        <v>2.5</v>
      </c>
      <c r="D11" s="4">
        <v>121003.0</v>
      </c>
      <c r="E11" s="4" t="s">
        <v>175</v>
      </c>
      <c r="F11" s="4" t="s">
        <v>149</v>
      </c>
      <c r="G11" s="4" t="s">
        <v>157</v>
      </c>
      <c r="H11" s="16">
        <v>224.6</v>
      </c>
    </row>
    <row r="12">
      <c r="A12" s="4" t="s">
        <v>176</v>
      </c>
      <c r="B12" s="4" t="s">
        <v>24</v>
      </c>
      <c r="C12" s="15">
        <v>0.69</v>
      </c>
      <c r="D12" s="4">
        <v>121003.0</v>
      </c>
      <c r="E12" s="4" t="s">
        <v>177</v>
      </c>
      <c r="F12" s="4" t="s">
        <v>149</v>
      </c>
      <c r="G12" s="4" t="s">
        <v>157</v>
      </c>
      <c r="H12" s="16">
        <v>90.2</v>
      </c>
    </row>
    <row r="13">
      <c r="A13" s="4" t="s">
        <v>178</v>
      </c>
      <c r="B13" s="4" t="s">
        <v>25</v>
      </c>
      <c r="C13" s="15">
        <v>1.0</v>
      </c>
      <c r="D13" s="4">
        <v>121003.0</v>
      </c>
      <c r="E13" s="4" t="s">
        <v>179</v>
      </c>
      <c r="F13" s="4" t="s">
        <v>147</v>
      </c>
      <c r="G13" s="4" t="s">
        <v>157</v>
      </c>
      <c r="H13" s="16">
        <v>61.3</v>
      </c>
    </row>
    <row r="14">
      <c r="A14" s="4" t="s">
        <v>180</v>
      </c>
      <c r="B14" s="4" t="s">
        <v>26</v>
      </c>
      <c r="C14" s="15">
        <v>1.7</v>
      </c>
      <c r="D14" s="4">
        <v>121003.0</v>
      </c>
      <c r="E14" s="4" t="s">
        <v>181</v>
      </c>
      <c r="F14" s="4" t="s">
        <v>149</v>
      </c>
      <c r="G14" s="4" t="s">
        <v>157</v>
      </c>
      <c r="H14" s="16">
        <v>179.8</v>
      </c>
    </row>
    <row r="15">
      <c r="A15" s="4" t="s">
        <v>182</v>
      </c>
      <c r="B15" s="4" t="s">
        <v>28</v>
      </c>
      <c r="C15" s="15">
        <v>0.68</v>
      </c>
      <c r="D15" s="4">
        <v>121003.0</v>
      </c>
      <c r="E15" s="4" t="s">
        <v>183</v>
      </c>
      <c r="F15" s="4" t="s">
        <v>149</v>
      </c>
      <c r="G15" s="4" t="s">
        <v>157</v>
      </c>
      <c r="H15" s="16">
        <v>90.2</v>
      </c>
    </row>
    <row r="16">
      <c r="A16" s="4" t="s">
        <v>184</v>
      </c>
      <c r="B16" s="4" t="s">
        <v>29</v>
      </c>
      <c r="C16" s="15">
        <v>1.0</v>
      </c>
      <c r="D16" s="4">
        <v>121003.0</v>
      </c>
      <c r="E16" s="4" t="s">
        <v>185</v>
      </c>
      <c r="F16" s="4" t="s">
        <v>147</v>
      </c>
      <c r="G16" s="4" t="s">
        <v>157</v>
      </c>
      <c r="H16" s="16">
        <v>61.3</v>
      </c>
    </row>
    <row r="17">
      <c r="A17" s="4" t="s">
        <v>186</v>
      </c>
      <c r="B17" s="4" t="s">
        <v>30</v>
      </c>
      <c r="C17" s="15">
        <v>1.16</v>
      </c>
      <c r="D17" s="4">
        <v>121003.0</v>
      </c>
      <c r="E17" s="4" t="s">
        <v>187</v>
      </c>
      <c r="F17" s="4" t="s">
        <v>149</v>
      </c>
      <c r="G17" s="4" t="s">
        <v>157</v>
      </c>
      <c r="H17" s="16">
        <v>135.0</v>
      </c>
    </row>
    <row r="18">
      <c r="A18" s="4" t="s">
        <v>188</v>
      </c>
      <c r="B18" s="4" t="s">
        <v>32</v>
      </c>
      <c r="C18" s="15">
        <v>0.68</v>
      </c>
      <c r="D18" s="4">
        <v>121003.0</v>
      </c>
      <c r="E18" s="4" t="s">
        <v>189</v>
      </c>
      <c r="F18" s="4" t="s">
        <v>147</v>
      </c>
      <c r="G18" s="4" t="s">
        <v>157</v>
      </c>
      <c r="H18" s="16">
        <v>61.3</v>
      </c>
    </row>
    <row r="19">
      <c r="A19" s="4" t="s">
        <v>190</v>
      </c>
      <c r="B19" s="4" t="s">
        <v>34</v>
      </c>
      <c r="C19" s="15">
        <v>1.08</v>
      </c>
      <c r="D19" s="4">
        <v>121003.0</v>
      </c>
      <c r="E19" s="4" t="s">
        <v>191</v>
      </c>
      <c r="F19" s="4" t="s">
        <v>147</v>
      </c>
      <c r="G19" s="4" t="s">
        <v>157</v>
      </c>
      <c r="H19" s="16">
        <v>89.6</v>
      </c>
    </row>
    <row r="20">
      <c r="A20" s="4" t="s">
        <v>192</v>
      </c>
      <c r="B20" s="4" t="s">
        <v>36</v>
      </c>
      <c r="C20" s="15">
        <v>0.69</v>
      </c>
      <c r="D20" s="4">
        <v>121003.0</v>
      </c>
      <c r="E20" s="4" t="s">
        <v>193</v>
      </c>
      <c r="F20" s="4" t="s">
        <v>149</v>
      </c>
      <c r="G20" s="4" t="s">
        <v>157</v>
      </c>
      <c r="H20" s="16">
        <v>90.2</v>
      </c>
    </row>
    <row r="21" ht="15.75" customHeight="1">
      <c r="A21" s="4" t="s">
        <v>194</v>
      </c>
      <c r="B21" s="4" t="s">
        <v>41</v>
      </c>
      <c r="C21" s="15">
        <v>1.13</v>
      </c>
      <c r="D21" s="4">
        <v>121003.0</v>
      </c>
      <c r="E21" s="4" t="s">
        <v>195</v>
      </c>
      <c r="F21" s="4" t="s">
        <v>149</v>
      </c>
      <c r="G21" s="4" t="s">
        <v>157</v>
      </c>
      <c r="H21" s="16">
        <v>135.0</v>
      </c>
    </row>
    <row r="22" ht="15.75" customHeight="1">
      <c r="A22" s="4" t="s">
        <v>196</v>
      </c>
      <c r="B22" s="4" t="s">
        <v>42</v>
      </c>
      <c r="C22" s="15">
        <v>0.69</v>
      </c>
      <c r="D22" s="4">
        <v>121003.0</v>
      </c>
      <c r="E22" s="4" t="s">
        <v>197</v>
      </c>
      <c r="F22" s="4" t="s">
        <v>149</v>
      </c>
      <c r="G22" s="4" t="s">
        <v>157</v>
      </c>
      <c r="H22" s="16">
        <v>90.2</v>
      </c>
    </row>
    <row r="23" ht="15.75" customHeight="1">
      <c r="A23" s="4" t="s">
        <v>198</v>
      </c>
      <c r="B23" s="4" t="s">
        <v>39</v>
      </c>
      <c r="C23" s="15">
        <v>0.68</v>
      </c>
      <c r="D23" s="4">
        <v>121003.0</v>
      </c>
      <c r="E23" s="4" t="s">
        <v>199</v>
      </c>
      <c r="F23" s="4" t="s">
        <v>149</v>
      </c>
      <c r="G23" s="4" t="s">
        <v>157</v>
      </c>
      <c r="H23" s="16">
        <v>90.2</v>
      </c>
    </row>
    <row r="24" ht="15.75" customHeight="1">
      <c r="A24" s="4" t="s">
        <v>200</v>
      </c>
      <c r="B24" s="4" t="s">
        <v>43</v>
      </c>
      <c r="C24" s="15">
        <v>1.02</v>
      </c>
      <c r="D24" s="4">
        <v>121003.0</v>
      </c>
      <c r="E24" s="4" t="s">
        <v>201</v>
      </c>
      <c r="F24" s="4" t="s">
        <v>149</v>
      </c>
      <c r="G24" s="4" t="s">
        <v>157</v>
      </c>
      <c r="H24" s="16">
        <v>135.0</v>
      </c>
    </row>
    <row r="25" ht="15.75" customHeight="1">
      <c r="A25" s="4" t="s">
        <v>202</v>
      </c>
      <c r="B25" s="4" t="s">
        <v>45</v>
      </c>
      <c r="C25" s="15">
        <v>2.86</v>
      </c>
      <c r="D25" s="4">
        <v>121003.0</v>
      </c>
      <c r="E25" s="4" t="s">
        <v>203</v>
      </c>
      <c r="F25" s="4" t="s">
        <v>147</v>
      </c>
      <c r="G25" s="4" t="s">
        <v>157</v>
      </c>
      <c r="H25" s="16">
        <v>174.5</v>
      </c>
    </row>
    <row r="26" ht="15.75" customHeight="1">
      <c r="A26" s="4" t="s">
        <v>204</v>
      </c>
      <c r="B26" s="4" t="s">
        <v>47</v>
      </c>
      <c r="C26" s="15">
        <v>1.35</v>
      </c>
      <c r="D26" s="4">
        <v>121003.0</v>
      </c>
      <c r="E26" s="4" t="s">
        <v>189</v>
      </c>
      <c r="F26" s="4" t="s">
        <v>147</v>
      </c>
      <c r="G26" s="4" t="s">
        <v>157</v>
      </c>
      <c r="H26" s="16">
        <v>89.6</v>
      </c>
    </row>
    <row r="27" ht="15.75" customHeight="1">
      <c r="A27" s="4" t="s">
        <v>205</v>
      </c>
      <c r="B27" s="4" t="s">
        <v>49</v>
      </c>
      <c r="C27" s="15">
        <v>0.59</v>
      </c>
      <c r="D27" s="4">
        <v>121003.0</v>
      </c>
      <c r="E27" s="4" t="s">
        <v>206</v>
      </c>
      <c r="F27" s="4" t="s">
        <v>149</v>
      </c>
      <c r="G27" s="4" t="s">
        <v>157</v>
      </c>
      <c r="H27" s="16">
        <v>90.2</v>
      </c>
    </row>
    <row r="28" ht="15.75" customHeight="1">
      <c r="A28" s="4" t="s">
        <v>207</v>
      </c>
      <c r="B28" s="4" t="s">
        <v>50</v>
      </c>
      <c r="C28" s="15">
        <v>0.69</v>
      </c>
      <c r="D28" s="4">
        <v>121003.0</v>
      </c>
      <c r="E28" s="4" t="s">
        <v>208</v>
      </c>
      <c r="F28" s="4" t="s">
        <v>149</v>
      </c>
      <c r="G28" s="4" t="s">
        <v>157</v>
      </c>
      <c r="H28" s="16">
        <v>90.2</v>
      </c>
    </row>
    <row r="29" ht="15.75" customHeight="1">
      <c r="A29" s="4" t="s">
        <v>209</v>
      </c>
      <c r="B29" s="4" t="s">
        <v>53</v>
      </c>
      <c r="C29" s="15">
        <v>0.68</v>
      </c>
      <c r="D29" s="4">
        <v>121003.0</v>
      </c>
      <c r="E29" s="4" t="s">
        <v>210</v>
      </c>
      <c r="F29" s="4" t="s">
        <v>149</v>
      </c>
      <c r="G29" s="4" t="s">
        <v>157</v>
      </c>
      <c r="H29" s="16">
        <v>90.2</v>
      </c>
    </row>
    <row r="30" ht="15.75" customHeight="1">
      <c r="A30" s="4" t="s">
        <v>211</v>
      </c>
      <c r="B30" s="4" t="s">
        <v>54</v>
      </c>
      <c r="C30" s="15">
        <v>0.68</v>
      </c>
      <c r="D30" s="4">
        <v>121003.0</v>
      </c>
      <c r="E30" s="4" t="s">
        <v>212</v>
      </c>
      <c r="F30" s="4" t="s">
        <v>149</v>
      </c>
      <c r="G30" s="4" t="s">
        <v>157</v>
      </c>
      <c r="H30" s="16">
        <v>90.2</v>
      </c>
    </row>
    <row r="31" ht="15.75" customHeight="1">
      <c r="A31" s="4" t="s">
        <v>213</v>
      </c>
      <c r="B31" s="4" t="s">
        <v>56</v>
      </c>
      <c r="C31" s="15">
        <v>0.15</v>
      </c>
      <c r="D31" s="4">
        <v>121003.0</v>
      </c>
      <c r="E31" s="4" t="s">
        <v>214</v>
      </c>
      <c r="F31" s="4" t="s">
        <v>149</v>
      </c>
      <c r="G31" s="4" t="s">
        <v>157</v>
      </c>
      <c r="H31" s="16">
        <v>45.4</v>
      </c>
    </row>
    <row r="32" ht="15.75" customHeight="1">
      <c r="A32" s="4" t="s">
        <v>215</v>
      </c>
      <c r="B32" s="4" t="s">
        <v>37</v>
      </c>
      <c r="C32" s="15">
        <v>0.15</v>
      </c>
      <c r="D32" s="4">
        <v>121003.0</v>
      </c>
      <c r="E32" s="4" t="s">
        <v>216</v>
      </c>
      <c r="F32" s="4" t="s">
        <v>149</v>
      </c>
      <c r="G32" s="4" t="s">
        <v>157</v>
      </c>
      <c r="H32" s="16">
        <v>45.4</v>
      </c>
    </row>
    <row r="33" ht="15.75" customHeight="1">
      <c r="A33" s="4" t="s">
        <v>217</v>
      </c>
      <c r="B33" s="4" t="s">
        <v>51</v>
      </c>
      <c r="C33" s="15">
        <v>1.0</v>
      </c>
      <c r="D33" s="4">
        <v>121003.0</v>
      </c>
      <c r="E33" s="4" t="s">
        <v>218</v>
      </c>
      <c r="F33" s="4" t="s">
        <v>147</v>
      </c>
      <c r="G33" s="4" t="s">
        <v>157</v>
      </c>
      <c r="H33" s="16">
        <v>61.3</v>
      </c>
    </row>
    <row r="34" ht="15.75" customHeight="1">
      <c r="A34" s="4" t="s">
        <v>219</v>
      </c>
      <c r="B34" s="4" t="s">
        <v>57</v>
      </c>
      <c r="C34" s="15">
        <v>1.64</v>
      </c>
      <c r="D34" s="4">
        <v>121003.0</v>
      </c>
      <c r="E34" s="4" t="s">
        <v>220</v>
      </c>
      <c r="F34" s="4" t="s">
        <v>149</v>
      </c>
      <c r="G34" s="4" t="s">
        <v>157</v>
      </c>
      <c r="H34" s="16">
        <v>179.8</v>
      </c>
    </row>
    <row r="35" ht="15.75" customHeight="1">
      <c r="A35" s="4" t="s">
        <v>221</v>
      </c>
      <c r="B35" s="4" t="s">
        <v>59</v>
      </c>
      <c r="C35" s="15">
        <v>1.15</v>
      </c>
      <c r="D35" s="4">
        <v>121003.0</v>
      </c>
      <c r="E35" s="4" t="s">
        <v>222</v>
      </c>
      <c r="F35" s="4" t="s">
        <v>147</v>
      </c>
      <c r="G35" s="4" t="s">
        <v>157</v>
      </c>
      <c r="H35" s="16">
        <v>89.6</v>
      </c>
    </row>
    <row r="36" ht="15.75" customHeight="1">
      <c r="A36" s="4" t="s">
        <v>223</v>
      </c>
      <c r="B36" s="4" t="s">
        <v>60</v>
      </c>
      <c r="C36" s="15">
        <v>0.67</v>
      </c>
      <c r="D36" s="4">
        <v>121003.0</v>
      </c>
      <c r="E36" s="4" t="s">
        <v>224</v>
      </c>
      <c r="F36" s="4" t="s">
        <v>149</v>
      </c>
      <c r="G36" s="4" t="s">
        <v>157</v>
      </c>
      <c r="H36" s="16">
        <v>90.2</v>
      </c>
    </row>
    <row r="37" ht="15.75" customHeight="1">
      <c r="A37" s="4" t="s">
        <v>225</v>
      </c>
      <c r="B37" s="4" t="s">
        <v>61</v>
      </c>
      <c r="C37" s="15">
        <v>0.5</v>
      </c>
      <c r="D37" s="4">
        <v>121003.0</v>
      </c>
      <c r="E37" s="4" t="s">
        <v>226</v>
      </c>
      <c r="F37" s="4" t="s">
        <v>149</v>
      </c>
      <c r="G37" s="4" t="s">
        <v>157</v>
      </c>
      <c r="H37" s="16">
        <v>45.4</v>
      </c>
    </row>
    <row r="38" ht="15.75" customHeight="1">
      <c r="A38" s="4" t="s">
        <v>227</v>
      </c>
      <c r="B38" s="4" t="s">
        <v>62</v>
      </c>
      <c r="C38" s="15">
        <v>0.79</v>
      </c>
      <c r="D38" s="4">
        <v>121003.0</v>
      </c>
      <c r="E38" s="4" t="s">
        <v>228</v>
      </c>
      <c r="F38" s="4" t="s">
        <v>149</v>
      </c>
      <c r="G38" s="4" t="s">
        <v>157</v>
      </c>
      <c r="H38" s="16">
        <v>90.2</v>
      </c>
    </row>
    <row r="39" ht="15.75" customHeight="1">
      <c r="A39" s="4" t="s">
        <v>229</v>
      </c>
      <c r="B39" s="4" t="s">
        <v>63</v>
      </c>
      <c r="C39" s="15">
        <v>0.5</v>
      </c>
      <c r="D39" s="4">
        <v>121003.0</v>
      </c>
      <c r="E39" s="4" t="s">
        <v>230</v>
      </c>
      <c r="F39" s="4" t="s">
        <v>149</v>
      </c>
      <c r="G39" s="4" t="s">
        <v>157</v>
      </c>
      <c r="H39" s="16">
        <v>45.4</v>
      </c>
    </row>
    <row r="40" ht="15.75" customHeight="1">
      <c r="A40" s="4" t="s">
        <v>231</v>
      </c>
      <c r="B40" s="4" t="s">
        <v>64</v>
      </c>
      <c r="C40" s="15">
        <v>2.28</v>
      </c>
      <c r="D40" s="4">
        <v>121003.0</v>
      </c>
      <c r="E40" s="4" t="s">
        <v>232</v>
      </c>
      <c r="F40" s="4" t="s">
        <v>149</v>
      </c>
      <c r="G40" s="4" t="s">
        <v>157</v>
      </c>
      <c r="H40" s="16">
        <v>224.6</v>
      </c>
    </row>
    <row r="41" ht="15.75" customHeight="1">
      <c r="A41" s="4" t="s">
        <v>233</v>
      </c>
      <c r="B41" s="4" t="s">
        <v>66</v>
      </c>
      <c r="C41" s="15">
        <v>2.0</v>
      </c>
      <c r="D41" s="4">
        <v>121003.0</v>
      </c>
      <c r="E41" s="4" t="s">
        <v>234</v>
      </c>
      <c r="F41" s="4" t="s">
        <v>149</v>
      </c>
      <c r="G41" s="4" t="s">
        <v>157</v>
      </c>
      <c r="H41" s="16">
        <v>179.8</v>
      </c>
    </row>
    <row r="42" ht="15.75" customHeight="1">
      <c r="A42" s="4" t="s">
        <v>235</v>
      </c>
      <c r="B42" s="4" t="s">
        <v>68</v>
      </c>
      <c r="C42" s="15">
        <v>1.0</v>
      </c>
      <c r="D42" s="4">
        <v>121003.0</v>
      </c>
      <c r="E42" s="4" t="s">
        <v>236</v>
      </c>
      <c r="F42" s="4" t="s">
        <v>147</v>
      </c>
      <c r="G42" s="4" t="s">
        <v>157</v>
      </c>
      <c r="H42" s="16">
        <v>61.3</v>
      </c>
    </row>
    <row r="43" ht="15.75" customHeight="1">
      <c r="A43" s="4" t="s">
        <v>237</v>
      </c>
      <c r="B43" s="4" t="s">
        <v>71</v>
      </c>
      <c r="C43" s="15">
        <v>0.68</v>
      </c>
      <c r="D43" s="4">
        <v>121003.0</v>
      </c>
      <c r="E43" s="4" t="s">
        <v>238</v>
      </c>
      <c r="F43" s="4" t="s">
        <v>149</v>
      </c>
      <c r="G43" s="4" t="s">
        <v>157</v>
      </c>
      <c r="H43" s="16">
        <v>90.2</v>
      </c>
    </row>
    <row r="44" ht="15.75" customHeight="1">
      <c r="A44" s="4" t="s">
        <v>239</v>
      </c>
      <c r="B44" s="4" t="s">
        <v>73</v>
      </c>
      <c r="C44" s="15">
        <v>0.79</v>
      </c>
      <c r="D44" s="4">
        <v>121003.0</v>
      </c>
      <c r="E44" s="4" t="s">
        <v>240</v>
      </c>
      <c r="F44" s="4" t="s">
        <v>147</v>
      </c>
      <c r="G44" s="4" t="s">
        <v>157</v>
      </c>
      <c r="H44" s="16">
        <v>61.3</v>
      </c>
    </row>
    <row r="45" ht="15.75" customHeight="1">
      <c r="A45" s="4" t="s">
        <v>241</v>
      </c>
      <c r="B45" s="4" t="s">
        <v>74</v>
      </c>
      <c r="C45" s="15">
        <v>0.74</v>
      </c>
      <c r="D45" s="4">
        <v>121003.0</v>
      </c>
      <c r="E45" s="4" t="s">
        <v>242</v>
      </c>
      <c r="F45" s="4" t="s">
        <v>149</v>
      </c>
      <c r="G45" s="4" t="s">
        <v>157</v>
      </c>
      <c r="H45" s="16">
        <v>90.2</v>
      </c>
    </row>
    <row r="46" ht="15.75" customHeight="1">
      <c r="A46" s="4" t="s">
        <v>243</v>
      </c>
      <c r="B46" s="4" t="s">
        <v>77</v>
      </c>
      <c r="C46" s="15">
        <v>0.72</v>
      </c>
      <c r="D46" s="4">
        <v>121003.0</v>
      </c>
      <c r="E46" s="4" t="s">
        <v>244</v>
      </c>
      <c r="F46" s="4" t="s">
        <v>149</v>
      </c>
      <c r="G46" s="4" t="s">
        <v>157</v>
      </c>
      <c r="H46" s="16">
        <v>90.2</v>
      </c>
    </row>
    <row r="47" ht="15.75" customHeight="1">
      <c r="A47" s="4" t="s">
        <v>245</v>
      </c>
      <c r="B47" s="4" t="s">
        <v>78</v>
      </c>
      <c r="C47" s="15">
        <v>1.08</v>
      </c>
      <c r="D47" s="4">
        <v>121003.0</v>
      </c>
      <c r="E47" s="4" t="s">
        <v>246</v>
      </c>
      <c r="F47" s="4" t="s">
        <v>147</v>
      </c>
      <c r="G47" s="4" t="s">
        <v>157</v>
      </c>
      <c r="H47" s="16">
        <v>89.6</v>
      </c>
    </row>
    <row r="48" ht="15.75" customHeight="1">
      <c r="A48" s="4" t="s">
        <v>247</v>
      </c>
      <c r="B48" s="4" t="s">
        <v>79</v>
      </c>
      <c r="C48" s="15">
        <v>1.0</v>
      </c>
      <c r="D48" s="4">
        <v>121003.0</v>
      </c>
      <c r="E48" s="4" t="s">
        <v>248</v>
      </c>
      <c r="F48" s="4" t="s">
        <v>149</v>
      </c>
      <c r="G48" s="4" t="s">
        <v>157</v>
      </c>
      <c r="H48" s="16">
        <v>90.2</v>
      </c>
    </row>
    <row r="49" ht="15.75" customHeight="1">
      <c r="A49" s="4" t="s">
        <v>249</v>
      </c>
      <c r="B49" s="4" t="s">
        <v>81</v>
      </c>
      <c r="C49" s="15">
        <v>4.13</v>
      </c>
      <c r="D49" s="4">
        <v>121003.0</v>
      </c>
      <c r="E49" s="4" t="s">
        <v>250</v>
      </c>
      <c r="F49" s="4" t="s">
        <v>149</v>
      </c>
      <c r="G49" s="4" t="s">
        <v>157</v>
      </c>
      <c r="H49" s="16">
        <v>403.8</v>
      </c>
    </row>
    <row r="50" ht="15.75" customHeight="1">
      <c r="A50" s="4" t="s">
        <v>251</v>
      </c>
      <c r="B50" s="4" t="s">
        <v>82</v>
      </c>
      <c r="C50" s="15">
        <v>0.7</v>
      </c>
      <c r="D50" s="4">
        <v>121003.0</v>
      </c>
      <c r="E50" s="4" t="s">
        <v>252</v>
      </c>
      <c r="F50" s="4" t="s">
        <v>149</v>
      </c>
      <c r="G50" s="4" t="s">
        <v>253</v>
      </c>
      <c r="H50" s="16">
        <v>172.8</v>
      </c>
    </row>
    <row r="51" ht="15.75" customHeight="1">
      <c r="A51" s="4" t="s">
        <v>254</v>
      </c>
      <c r="B51" s="4" t="s">
        <v>84</v>
      </c>
      <c r="C51" s="15">
        <v>0.5</v>
      </c>
      <c r="D51" s="4">
        <v>121003.0</v>
      </c>
      <c r="E51" s="4" t="s">
        <v>255</v>
      </c>
      <c r="F51" s="4" t="s">
        <v>149</v>
      </c>
      <c r="G51" s="4" t="s">
        <v>157</v>
      </c>
      <c r="H51" s="16">
        <v>45.4</v>
      </c>
    </row>
    <row r="52" ht="15.75" customHeight="1">
      <c r="A52" s="4" t="s">
        <v>256</v>
      </c>
      <c r="B52" s="4" t="s">
        <v>75</v>
      </c>
      <c r="C52" s="15">
        <v>0.15</v>
      </c>
      <c r="D52" s="4">
        <v>121003.0</v>
      </c>
      <c r="E52" s="4" t="s">
        <v>257</v>
      </c>
      <c r="F52" s="4" t="s">
        <v>149</v>
      </c>
      <c r="G52" s="4" t="s">
        <v>157</v>
      </c>
      <c r="H52" s="16">
        <v>45.4</v>
      </c>
    </row>
    <row r="53" ht="15.75" customHeight="1">
      <c r="A53" s="4" t="s">
        <v>258</v>
      </c>
      <c r="B53" s="4" t="s">
        <v>65</v>
      </c>
      <c r="C53" s="15">
        <v>0.73</v>
      </c>
      <c r="D53" s="4">
        <v>121003.0</v>
      </c>
      <c r="E53" s="4" t="s">
        <v>259</v>
      </c>
      <c r="F53" s="4" t="s">
        <v>149</v>
      </c>
      <c r="G53" s="4" t="s">
        <v>157</v>
      </c>
      <c r="H53" s="16">
        <v>90.2</v>
      </c>
    </row>
    <row r="54" ht="15.75" customHeight="1">
      <c r="A54" s="4" t="s">
        <v>260</v>
      </c>
      <c r="B54" s="4" t="s">
        <v>69</v>
      </c>
      <c r="C54" s="15">
        <v>1.04</v>
      </c>
      <c r="D54" s="4">
        <v>121003.0</v>
      </c>
      <c r="E54" s="4" t="s">
        <v>261</v>
      </c>
      <c r="F54" s="4" t="s">
        <v>149</v>
      </c>
      <c r="G54" s="4" t="s">
        <v>157</v>
      </c>
      <c r="H54" s="16">
        <v>135.0</v>
      </c>
    </row>
    <row r="55" ht="15.75" customHeight="1">
      <c r="A55" s="4" t="s">
        <v>262</v>
      </c>
      <c r="B55" s="4" t="s">
        <v>85</v>
      </c>
      <c r="C55" s="15">
        <v>1.28</v>
      </c>
      <c r="D55" s="4">
        <v>121003.0</v>
      </c>
      <c r="E55" s="4" t="s">
        <v>263</v>
      </c>
      <c r="F55" s="4" t="s">
        <v>149</v>
      </c>
      <c r="G55" s="4" t="s">
        <v>157</v>
      </c>
      <c r="H55" s="16">
        <v>135.0</v>
      </c>
    </row>
    <row r="56" ht="15.75" customHeight="1">
      <c r="A56" s="4" t="s">
        <v>264</v>
      </c>
      <c r="B56" s="4" t="s">
        <v>86</v>
      </c>
      <c r="C56" s="15">
        <v>0.5</v>
      </c>
      <c r="D56" s="4">
        <v>121003.0</v>
      </c>
      <c r="E56" s="4" t="s">
        <v>222</v>
      </c>
      <c r="F56" s="4" t="s">
        <v>147</v>
      </c>
      <c r="G56" s="4" t="s">
        <v>157</v>
      </c>
      <c r="H56" s="16">
        <v>33.0</v>
      </c>
    </row>
    <row r="57" ht="15.75" customHeight="1">
      <c r="A57" s="4" t="s">
        <v>265</v>
      </c>
      <c r="B57" s="4" t="s">
        <v>87</v>
      </c>
      <c r="C57" s="15">
        <v>0.79</v>
      </c>
      <c r="D57" s="4">
        <v>121003.0</v>
      </c>
      <c r="E57" s="4" t="s">
        <v>266</v>
      </c>
      <c r="F57" s="4" t="s">
        <v>149</v>
      </c>
      <c r="G57" s="4" t="s">
        <v>157</v>
      </c>
      <c r="H57" s="16">
        <v>90.2</v>
      </c>
    </row>
    <row r="58" ht="15.75" customHeight="1">
      <c r="A58" s="4" t="s">
        <v>267</v>
      </c>
      <c r="B58" s="4" t="s">
        <v>88</v>
      </c>
      <c r="C58" s="15">
        <v>0.77</v>
      </c>
      <c r="D58" s="4">
        <v>121003.0</v>
      </c>
      <c r="E58" s="4" t="s">
        <v>268</v>
      </c>
      <c r="F58" s="4" t="s">
        <v>149</v>
      </c>
      <c r="G58" s="4" t="s">
        <v>157</v>
      </c>
      <c r="H58" s="16">
        <v>90.2</v>
      </c>
    </row>
    <row r="59" ht="15.75" customHeight="1">
      <c r="A59" s="4" t="s">
        <v>269</v>
      </c>
      <c r="B59" s="4" t="s">
        <v>89</v>
      </c>
      <c r="C59" s="15">
        <v>0.2</v>
      </c>
      <c r="D59" s="4">
        <v>121003.0</v>
      </c>
      <c r="E59" s="4" t="s">
        <v>270</v>
      </c>
      <c r="F59" s="4" t="s">
        <v>148</v>
      </c>
      <c r="G59" s="4" t="s">
        <v>253</v>
      </c>
      <c r="H59" s="16">
        <v>107.3</v>
      </c>
    </row>
    <row r="60" ht="15.75" customHeight="1">
      <c r="A60" s="4" t="s">
        <v>271</v>
      </c>
      <c r="B60" s="4" t="s">
        <v>90</v>
      </c>
      <c r="C60" s="15">
        <v>0.7</v>
      </c>
      <c r="D60" s="4">
        <v>121003.0</v>
      </c>
      <c r="E60" s="4" t="s">
        <v>272</v>
      </c>
      <c r="F60" s="4" t="s">
        <v>149</v>
      </c>
      <c r="G60" s="4" t="s">
        <v>157</v>
      </c>
      <c r="H60" s="16">
        <v>90.2</v>
      </c>
    </row>
    <row r="61" ht="15.75" customHeight="1">
      <c r="A61" s="4" t="s">
        <v>273</v>
      </c>
      <c r="B61" s="4" t="s">
        <v>91</v>
      </c>
      <c r="C61" s="15">
        <v>0.79</v>
      </c>
      <c r="D61" s="4">
        <v>121003.0</v>
      </c>
      <c r="E61" s="4" t="s">
        <v>274</v>
      </c>
      <c r="F61" s="4" t="s">
        <v>147</v>
      </c>
      <c r="G61" s="4" t="s">
        <v>157</v>
      </c>
      <c r="H61" s="16">
        <v>61.3</v>
      </c>
    </row>
    <row r="62" ht="15.75" customHeight="1">
      <c r="A62" s="4" t="s">
        <v>275</v>
      </c>
      <c r="B62" s="4" t="s">
        <v>93</v>
      </c>
      <c r="C62" s="15">
        <v>0.86</v>
      </c>
      <c r="D62" s="4">
        <v>121003.0</v>
      </c>
      <c r="E62" s="4" t="s">
        <v>276</v>
      </c>
      <c r="F62" s="4" t="s">
        <v>149</v>
      </c>
      <c r="G62" s="4" t="s">
        <v>157</v>
      </c>
      <c r="H62" s="16">
        <v>90.2</v>
      </c>
    </row>
    <row r="63" ht="15.75" customHeight="1">
      <c r="A63" s="4" t="s">
        <v>277</v>
      </c>
      <c r="B63" s="4" t="s">
        <v>94</v>
      </c>
      <c r="C63" s="15">
        <v>0.72</v>
      </c>
      <c r="D63" s="4">
        <v>121003.0</v>
      </c>
      <c r="E63" s="4" t="s">
        <v>278</v>
      </c>
      <c r="F63" s="4" t="s">
        <v>147</v>
      </c>
      <c r="G63" s="4" t="s">
        <v>157</v>
      </c>
      <c r="H63" s="16">
        <v>61.3</v>
      </c>
    </row>
    <row r="64" ht="15.75" customHeight="1">
      <c r="A64" s="4" t="s">
        <v>279</v>
      </c>
      <c r="B64" s="4" t="s">
        <v>97</v>
      </c>
      <c r="C64" s="15">
        <v>0.72</v>
      </c>
      <c r="D64" s="4">
        <v>121003.0</v>
      </c>
      <c r="E64" s="4" t="s">
        <v>280</v>
      </c>
      <c r="F64" s="4" t="s">
        <v>149</v>
      </c>
      <c r="G64" s="4" t="s">
        <v>157</v>
      </c>
      <c r="H64" s="16">
        <v>90.2</v>
      </c>
    </row>
    <row r="65" ht="15.75" customHeight="1">
      <c r="A65" s="4" t="s">
        <v>281</v>
      </c>
      <c r="B65" s="4" t="s">
        <v>95</v>
      </c>
      <c r="C65" s="15">
        <v>1.2</v>
      </c>
      <c r="D65" s="4">
        <v>121003.0</v>
      </c>
      <c r="E65" s="4" t="s">
        <v>282</v>
      </c>
      <c r="F65" s="4" t="s">
        <v>147</v>
      </c>
      <c r="G65" s="4" t="s">
        <v>157</v>
      </c>
      <c r="H65" s="16">
        <v>89.6</v>
      </c>
    </row>
    <row r="66" ht="15.75" customHeight="1">
      <c r="A66" s="4" t="s">
        <v>283</v>
      </c>
      <c r="B66" s="4" t="s">
        <v>98</v>
      </c>
      <c r="C66" s="15">
        <v>1.63</v>
      </c>
      <c r="D66" s="4">
        <v>121003.0</v>
      </c>
      <c r="E66" s="4" t="s">
        <v>284</v>
      </c>
      <c r="F66" s="4" t="s">
        <v>149</v>
      </c>
      <c r="G66" s="4" t="s">
        <v>157</v>
      </c>
      <c r="H66" s="16">
        <v>179.8</v>
      </c>
    </row>
    <row r="67" ht="15.75" customHeight="1">
      <c r="A67" s="4" t="s">
        <v>285</v>
      </c>
      <c r="B67" s="4" t="s">
        <v>99</v>
      </c>
      <c r="C67" s="15">
        <v>0.8</v>
      </c>
      <c r="D67" s="4">
        <v>121003.0</v>
      </c>
      <c r="E67" s="4" t="s">
        <v>272</v>
      </c>
      <c r="F67" s="4" t="s">
        <v>149</v>
      </c>
      <c r="G67" s="4" t="s">
        <v>157</v>
      </c>
      <c r="H67" s="16">
        <v>90.2</v>
      </c>
    </row>
    <row r="68" ht="15.75" customHeight="1">
      <c r="A68" s="4" t="s">
        <v>286</v>
      </c>
      <c r="B68" s="4" t="s">
        <v>101</v>
      </c>
      <c r="C68" s="15">
        <v>2.47</v>
      </c>
      <c r="D68" s="4">
        <v>121003.0</v>
      </c>
      <c r="E68" s="4" t="s">
        <v>287</v>
      </c>
      <c r="F68" s="4" t="s">
        <v>149</v>
      </c>
      <c r="G68" s="4" t="s">
        <v>157</v>
      </c>
      <c r="H68" s="16">
        <v>224.6</v>
      </c>
    </row>
    <row r="69" ht="15.75" customHeight="1">
      <c r="A69" s="4" t="s">
        <v>288</v>
      </c>
      <c r="B69" s="4" t="s">
        <v>102</v>
      </c>
      <c r="C69" s="15">
        <v>0.67</v>
      </c>
      <c r="D69" s="4">
        <v>121003.0</v>
      </c>
      <c r="E69" s="4" t="s">
        <v>268</v>
      </c>
      <c r="F69" s="4" t="s">
        <v>149</v>
      </c>
      <c r="G69" s="4" t="s">
        <v>157</v>
      </c>
      <c r="H69" s="16">
        <v>90.2</v>
      </c>
    </row>
    <row r="70" ht="15.75" customHeight="1">
      <c r="A70" s="4" t="s">
        <v>289</v>
      </c>
      <c r="B70" s="4" t="s">
        <v>104</v>
      </c>
      <c r="C70" s="15">
        <v>0.72</v>
      </c>
      <c r="D70" s="4">
        <v>121003.0</v>
      </c>
      <c r="E70" s="4" t="s">
        <v>290</v>
      </c>
      <c r="F70" s="4" t="s">
        <v>149</v>
      </c>
      <c r="G70" s="4" t="s">
        <v>157</v>
      </c>
      <c r="H70" s="16">
        <v>90.2</v>
      </c>
    </row>
    <row r="71" ht="15.75" customHeight="1">
      <c r="A71" s="4" t="s">
        <v>291</v>
      </c>
      <c r="B71" s="4" t="s">
        <v>105</v>
      </c>
      <c r="C71" s="15">
        <v>0.72</v>
      </c>
      <c r="D71" s="4">
        <v>121003.0</v>
      </c>
      <c r="E71" s="4" t="s">
        <v>292</v>
      </c>
      <c r="F71" s="4" t="s">
        <v>149</v>
      </c>
      <c r="G71" s="4" t="s">
        <v>157</v>
      </c>
      <c r="H71" s="16">
        <v>90.2</v>
      </c>
    </row>
    <row r="72" ht="15.75" customHeight="1">
      <c r="A72" s="4" t="s">
        <v>293</v>
      </c>
      <c r="B72" s="4" t="s">
        <v>107</v>
      </c>
      <c r="C72" s="15">
        <v>0.68</v>
      </c>
      <c r="D72" s="4">
        <v>121003.0</v>
      </c>
      <c r="E72" s="4" t="s">
        <v>294</v>
      </c>
      <c r="F72" s="4" t="s">
        <v>149</v>
      </c>
      <c r="G72" s="4" t="s">
        <v>157</v>
      </c>
      <c r="H72" s="16">
        <v>90.2</v>
      </c>
    </row>
    <row r="73" ht="15.75" customHeight="1">
      <c r="A73" s="4" t="s">
        <v>295</v>
      </c>
      <c r="B73" s="4" t="s">
        <v>109</v>
      </c>
      <c r="C73" s="15">
        <v>0.5</v>
      </c>
      <c r="D73" s="4">
        <v>121003.0</v>
      </c>
      <c r="E73" s="4" t="s">
        <v>296</v>
      </c>
      <c r="F73" s="4" t="s">
        <v>149</v>
      </c>
      <c r="G73" s="4" t="s">
        <v>253</v>
      </c>
      <c r="H73" s="16">
        <v>86.7</v>
      </c>
    </row>
    <row r="74" ht="15.75" customHeight="1">
      <c r="A74" s="4" t="s">
        <v>297</v>
      </c>
      <c r="B74" s="4" t="s">
        <v>110</v>
      </c>
      <c r="C74" s="15">
        <v>1.5</v>
      </c>
      <c r="D74" s="4">
        <v>121003.0</v>
      </c>
      <c r="E74" s="4" t="s">
        <v>298</v>
      </c>
      <c r="F74" s="4" t="s">
        <v>147</v>
      </c>
      <c r="G74" s="4" t="s">
        <v>157</v>
      </c>
      <c r="H74" s="16">
        <v>89.6</v>
      </c>
    </row>
    <row r="75" ht="15.75" customHeight="1">
      <c r="A75" s="4" t="s">
        <v>299</v>
      </c>
      <c r="B75" s="4" t="s">
        <v>111</v>
      </c>
      <c r="C75" s="15">
        <v>1.5</v>
      </c>
      <c r="D75" s="4">
        <v>121003.0</v>
      </c>
      <c r="E75" s="4" t="s">
        <v>300</v>
      </c>
      <c r="F75" s="4" t="s">
        <v>149</v>
      </c>
      <c r="G75" s="4" t="s">
        <v>157</v>
      </c>
      <c r="H75" s="16">
        <v>135.0</v>
      </c>
    </row>
    <row r="76" ht="15.75" customHeight="1">
      <c r="A76" s="4" t="s">
        <v>301</v>
      </c>
      <c r="B76" s="4" t="s">
        <v>112</v>
      </c>
      <c r="C76" s="15">
        <v>3.0</v>
      </c>
      <c r="D76" s="4">
        <v>121003.0</v>
      </c>
      <c r="E76" s="4" t="s">
        <v>302</v>
      </c>
      <c r="F76" s="4" t="s">
        <v>149</v>
      </c>
      <c r="G76" s="4" t="s">
        <v>157</v>
      </c>
      <c r="H76" s="16">
        <v>269.4</v>
      </c>
    </row>
    <row r="77" ht="15.75" customHeight="1">
      <c r="A77" s="4" t="s">
        <v>303</v>
      </c>
      <c r="B77" s="4" t="s">
        <v>115</v>
      </c>
      <c r="C77" s="15">
        <v>0.82</v>
      </c>
      <c r="D77" s="4">
        <v>121003.0</v>
      </c>
      <c r="E77" s="4" t="s">
        <v>304</v>
      </c>
      <c r="F77" s="4" t="s">
        <v>149</v>
      </c>
      <c r="G77" s="4" t="s">
        <v>157</v>
      </c>
      <c r="H77" s="16">
        <v>90.2</v>
      </c>
    </row>
    <row r="78" ht="15.75" customHeight="1">
      <c r="A78" s="4" t="s">
        <v>305</v>
      </c>
      <c r="B78" s="4" t="s">
        <v>116</v>
      </c>
      <c r="C78" s="15">
        <v>0.76</v>
      </c>
      <c r="D78" s="4">
        <v>121003.0</v>
      </c>
      <c r="E78" s="4" t="s">
        <v>306</v>
      </c>
      <c r="F78" s="4" t="s">
        <v>149</v>
      </c>
      <c r="G78" s="4" t="s">
        <v>157</v>
      </c>
      <c r="H78" s="16">
        <v>90.2</v>
      </c>
    </row>
    <row r="79" ht="15.75" customHeight="1">
      <c r="A79" s="4" t="s">
        <v>307</v>
      </c>
      <c r="B79" s="4" t="s">
        <v>117</v>
      </c>
      <c r="C79" s="15">
        <v>0.66</v>
      </c>
      <c r="D79" s="4">
        <v>121003.0</v>
      </c>
      <c r="E79" s="4" t="s">
        <v>308</v>
      </c>
      <c r="F79" s="4" t="s">
        <v>149</v>
      </c>
      <c r="G79" s="4" t="s">
        <v>157</v>
      </c>
      <c r="H79" s="16">
        <v>90.2</v>
      </c>
    </row>
    <row r="80" ht="15.75" customHeight="1">
      <c r="A80" s="4" t="s">
        <v>309</v>
      </c>
      <c r="B80" s="4" t="s">
        <v>119</v>
      </c>
      <c r="C80" s="15">
        <v>0.68</v>
      </c>
      <c r="D80" s="4">
        <v>121003.0</v>
      </c>
      <c r="E80" s="4" t="s">
        <v>310</v>
      </c>
      <c r="F80" s="4" t="s">
        <v>149</v>
      </c>
      <c r="G80" s="4" t="s">
        <v>157</v>
      </c>
      <c r="H80" s="16">
        <v>90.2</v>
      </c>
    </row>
    <row r="81" ht="15.75" customHeight="1">
      <c r="A81" s="4" t="s">
        <v>311</v>
      </c>
      <c r="B81" s="4" t="s">
        <v>120</v>
      </c>
      <c r="C81" s="15">
        <v>1.86</v>
      </c>
      <c r="D81" s="4">
        <v>121003.0</v>
      </c>
      <c r="E81" s="4" t="s">
        <v>171</v>
      </c>
      <c r="F81" s="4" t="s">
        <v>149</v>
      </c>
      <c r="G81" s="4" t="s">
        <v>157</v>
      </c>
      <c r="H81" s="16">
        <v>179.8</v>
      </c>
    </row>
    <row r="82" ht="15.75" customHeight="1">
      <c r="A82" s="4" t="s">
        <v>312</v>
      </c>
      <c r="B82" s="4" t="s">
        <v>121</v>
      </c>
      <c r="C82" s="15">
        <v>2.27</v>
      </c>
      <c r="D82" s="4">
        <v>121003.0</v>
      </c>
      <c r="E82" s="4" t="s">
        <v>313</v>
      </c>
      <c r="F82" s="4" t="s">
        <v>149</v>
      </c>
      <c r="G82" s="4" t="s">
        <v>157</v>
      </c>
      <c r="H82" s="16">
        <v>224.6</v>
      </c>
    </row>
    <row r="83" ht="15.75" customHeight="1">
      <c r="A83" s="4" t="s">
        <v>314</v>
      </c>
      <c r="B83" s="4" t="s">
        <v>122</v>
      </c>
      <c r="C83" s="15">
        <v>0.68</v>
      </c>
      <c r="D83" s="4">
        <v>121003.0</v>
      </c>
      <c r="E83" s="4" t="s">
        <v>315</v>
      </c>
      <c r="F83" s="4" t="s">
        <v>149</v>
      </c>
      <c r="G83" s="4" t="s">
        <v>157</v>
      </c>
      <c r="H83" s="16">
        <v>90.2</v>
      </c>
    </row>
    <row r="84" ht="15.75" customHeight="1">
      <c r="A84" s="4" t="s">
        <v>316</v>
      </c>
      <c r="B84" s="4" t="s">
        <v>124</v>
      </c>
      <c r="C84" s="15">
        <v>0.72</v>
      </c>
      <c r="D84" s="4">
        <v>121003.0</v>
      </c>
      <c r="E84" s="4" t="s">
        <v>310</v>
      </c>
      <c r="F84" s="4" t="s">
        <v>149</v>
      </c>
      <c r="G84" s="4" t="s">
        <v>157</v>
      </c>
      <c r="H84" s="16">
        <v>90.2</v>
      </c>
    </row>
    <row r="85" ht="15.75" customHeight="1">
      <c r="A85" s="4" t="s">
        <v>317</v>
      </c>
      <c r="B85" s="4" t="s">
        <v>125</v>
      </c>
      <c r="C85" s="15">
        <v>0.76</v>
      </c>
      <c r="D85" s="4">
        <v>121003.0</v>
      </c>
      <c r="E85" s="4" t="s">
        <v>318</v>
      </c>
      <c r="F85" s="4" t="s">
        <v>149</v>
      </c>
      <c r="G85" s="4" t="s">
        <v>157</v>
      </c>
      <c r="H85" s="16">
        <v>90.2</v>
      </c>
    </row>
    <row r="86" ht="15.75" customHeight="1">
      <c r="A86" s="4" t="s">
        <v>319</v>
      </c>
      <c r="B86" s="4" t="s">
        <v>126</v>
      </c>
      <c r="C86" s="15">
        <v>1.13</v>
      </c>
      <c r="D86" s="4">
        <v>121003.0</v>
      </c>
      <c r="E86" s="4" t="s">
        <v>320</v>
      </c>
      <c r="F86" s="4" t="s">
        <v>149</v>
      </c>
      <c r="G86" s="4" t="s">
        <v>253</v>
      </c>
      <c r="H86" s="16">
        <v>258.9</v>
      </c>
    </row>
    <row r="87" ht="15.75" customHeight="1">
      <c r="A87" s="4" t="s">
        <v>321</v>
      </c>
      <c r="B87" s="4" t="s">
        <v>127</v>
      </c>
      <c r="C87" s="15">
        <v>0.6</v>
      </c>
      <c r="D87" s="4">
        <v>121003.0</v>
      </c>
      <c r="E87" s="4" t="s">
        <v>322</v>
      </c>
      <c r="F87" s="4" t="s">
        <v>149</v>
      </c>
      <c r="G87" s="4" t="s">
        <v>157</v>
      </c>
      <c r="H87" s="16">
        <v>90.2</v>
      </c>
    </row>
    <row r="88" ht="15.75" customHeight="1">
      <c r="A88" s="4" t="s">
        <v>323</v>
      </c>
      <c r="B88" s="4" t="s">
        <v>130</v>
      </c>
      <c r="C88" s="15">
        <v>1.1</v>
      </c>
      <c r="D88" s="4">
        <v>121003.0</v>
      </c>
      <c r="E88" s="4" t="s">
        <v>171</v>
      </c>
      <c r="F88" s="4" t="s">
        <v>149</v>
      </c>
      <c r="G88" s="4" t="s">
        <v>157</v>
      </c>
      <c r="H88" s="16">
        <v>135.0</v>
      </c>
    </row>
    <row r="89" ht="15.75" customHeight="1">
      <c r="A89" s="4" t="s">
        <v>324</v>
      </c>
      <c r="B89" s="4" t="s">
        <v>132</v>
      </c>
      <c r="C89" s="15">
        <v>0.59</v>
      </c>
      <c r="D89" s="4">
        <v>121003.0</v>
      </c>
      <c r="E89" s="4" t="s">
        <v>325</v>
      </c>
      <c r="F89" s="4" t="s">
        <v>149</v>
      </c>
      <c r="G89" s="4" t="s">
        <v>157</v>
      </c>
      <c r="H89" s="16">
        <v>90.2</v>
      </c>
    </row>
    <row r="90" ht="15.75" customHeight="1">
      <c r="A90" s="4" t="s">
        <v>326</v>
      </c>
      <c r="B90" s="4" t="s">
        <v>133</v>
      </c>
      <c r="C90" s="15">
        <v>0.8</v>
      </c>
      <c r="D90" s="4">
        <v>121003.0</v>
      </c>
      <c r="E90" s="4" t="s">
        <v>327</v>
      </c>
      <c r="F90" s="4" t="s">
        <v>149</v>
      </c>
      <c r="G90" s="4" t="s">
        <v>157</v>
      </c>
      <c r="H90" s="16">
        <v>90.2</v>
      </c>
    </row>
    <row r="91" ht="15.75" customHeight="1">
      <c r="A91" s="4" t="s">
        <v>328</v>
      </c>
      <c r="B91" s="4" t="s">
        <v>136</v>
      </c>
      <c r="C91" s="15">
        <v>0.8</v>
      </c>
      <c r="D91" s="4">
        <v>121003.0</v>
      </c>
      <c r="E91" s="4" t="s">
        <v>329</v>
      </c>
      <c r="F91" s="4" t="s">
        <v>147</v>
      </c>
      <c r="G91" s="4" t="s">
        <v>157</v>
      </c>
      <c r="H91" s="16">
        <v>61.3</v>
      </c>
    </row>
    <row r="92" ht="15.75" customHeight="1">
      <c r="A92" s="4" t="s">
        <v>330</v>
      </c>
      <c r="B92" s="4" t="s">
        <v>137</v>
      </c>
      <c r="C92" s="15">
        <v>0.5</v>
      </c>
      <c r="D92" s="4">
        <v>121003.0</v>
      </c>
      <c r="E92" s="4" t="s">
        <v>331</v>
      </c>
      <c r="F92" s="4" t="s">
        <v>149</v>
      </c>
      <c r="G92" s="4" t="s">
        <v>253</v>
      </c>
      <c r="H92" s="16">
        <v>86.7</v>
      </c>
    </row>
    <row r="93" ht="15.75" customHeight="1">
      <c r="A93" s="4" t="s">
        <v>332</v>
      </c>
      <c r="B93" s="4" t="s">
        <v>134</v>
      </c>
      <c r="C93" s="15">
        <v>0.67</v>
      </c>
      <c r="D93" s="4">
        <v>121003.0</v>
      </c>
      <c r="E93" s="4" t="s">
        <v>290</v>
      </c>
      <c r="F93" s="4" t="s">
        <v>149</v>
      </c>
      <c r="G93" s="4" t="s">
        <v>157</v>
      </c>
      <c r="H93" s="16">
        <v>90.2</v>
      </c>
    </row>
    <row r="94" ht="15.75" customHeight="1">
      <c r="A94" s="4" t="s">
        <v>333</v>
      </c>
      <c r="B94" s="4" t="s">
        <v>128</v>
      </c>
      <c r="C94" s="15">
        <v>0.6</v>
      </c>
      <c r="D94" s="4">
        <v>121003.0</v>
      </c>
      <c r="E94" s="4" t="s">
        <v>334</v>
      </c>
      <c r="F94" s="4" t="s">
        <v>147</v>
      </c>
      <c r="G94" s="4" t="s">
        <v>253</v>
      </c>
      <c r="H94" s="16">
        <v>102.3</v>
      </c>
    </row>
    <row r="95" ht="15.75" customHeight="1">
      <c r="A95" s="4" t="s">
        <v>335</v>
      </c>
      <c r="B95" s="4" t="s">
        <v>118</v>
      </c>
      <c r="C95" s="15">
        <v>2.94</v>
      </c>
      <c r="D95" s="4">
        <v>121003.0</v>
      </c>
      <c r="E95" s="4" t="s">
        <v>336</v>
      </c>
      <c r="F95" s="4" t="s">
        <v>149</v>
      </c>
      <c r="G95" s="4" t="s">
        <v>157</v>
      </c>
      <c r="H95" s="16">
        <v>269.4</v>
      </c>
    </row>
    <row r="96" ht="15.75" customHeight="1">
      <c r="A96" s="4" t="s">
        <v>337</v>
      </c>
      <c r="B96" s="4" t="s">
        <v>114</v>
      </c>
      <c r="C96" s="15">
        <v>0.73</v>
      </c>
      <c r="D96" s="4">
        <v>121003.0</v>
      </c>
      <c r="E96" s="4" t="s">
        <v>338</v>
      </c>
      <c r="F96" s="4" t="s">
        <v>149</v>
      </c>
      <c r="G96" s="4" t="s">
        <v>157</v>
      </c>
      <c r="H96" s="16">
        <v>90.2</v>
      </c>
    </row>
    <row r="97" ht="15.75" customHeight="1">
      <c r="A97" s="4" t="s">
        <v>339</v>
      </c>
      <c r="B97" s="4" t="s">
        <v>108</v>
      </c>
      <c r="C97" s="15">
        <v>1.0</v>
      </c>
      <c r="D97" s="4">
        <v>121003.0</v>
      </c>
      <c r="E97" s="4" t="s">
        <v>340</v>
      </c>
      <c r="F97" s="4" t="s">
        <v>149</v>
      </c>
      <c r="G97" s="4" t="s">
        <v>157</v>
      </c>
      <c r="H97" s="16">
        <v>90.2</v>
      </c>
    </row>
    <row r="98" ht="15.75" customHeight="1">
      <c r="A98" s="4" t="s">
        <v>341</v>
      </c>
      <c r="B98" s="4" t="s">
        <v>131</v>
      </c>
      <c r="C98" s="15">
        <v>0.61</v>
      </c>
      <c r="D98" s="4">
        <v>121003.0</v>
      </c>
      <c r="E98" s="4" t="s">
        <v>327</v>
      </c>
      <c r="F98" s="4" t="s">
        <v>149</v>
      </c>
      <c r="G98" s="4" t="s">
        <v>157</v>
      </c>
      <c r="H98" s="16">
        <v>90.2</v>
      </c>
    </row>
    <row r="99" ht="15.75" customHeight="1">
      <c r="A99" s="4" t="s">
        <v>342</v>
      </c>
      <c r="B99" s="4" t="s">
        <v>106</v>
      </c>
      <c r="C99" s="15">
        <v>0.15</v>
      </c>
      <c r="D99" s="4">
        <v>121003.0</v>
      </c>
      <c r="E99" s="4" t="s">
        <v>343</v>
      </c>
      <c r="F99" s="4" t="s">
        <v>149</v>
      </c>
      <c r="G99" s="4" t="s">
        <v>253</v>
      </c>
      <c r="H99" s="16">
        <v>86.7</v>
      </c>
    </row>
    <row r="100" ht="15.75" customHeight="1">
      <c r="A100" s="4" t="s">
        <v>344</v>
      </c>
      <c r="B100" s="4" t="s">
        <v>103</v>
      </c>
      <c r="C100" s="15">
        <v>0.2</v>
      </c>
      <c r="D100" s="4">
        <v>121003.0</v>
      </c>
      <c r="E100" s="4" t="s">
        <v>171</v>
      </c>
      <c r="F100" s="4" t="s">
        <v>149</v>
      </c>
      <c r="G100" s="4" t="s">
        <v>157</v>
      </c>
      <c r="H100" s="16">
        <v>45.4</v>
      </c>
    </row>
    <row r="101" ht="15.75" customHeight="1">
      <c r="A101" s="4" t="s">
        <v>345</v>
      </c>
      <c r="B101" s="4" t="s">
        <v>100</v>
      </c>
      <c r="C101" s="15">
        <v>0.7</v>
      </c>
      <c r="D101" s="4">
        <v>121003.0</v>
      </c>
      <c r="E101" s="4" t="s">
        <v>171</v>
      </c>
      <c r="F101" s="4" t="s">
        <v>149</v>
      </c>
      <c r="G101" s="4" t="s">
        <v>157</v>
      </c>
      <c r="H101" s="16">
        <v>90.2</v>
      </c>
    </row>
    <row r="102" ht="15.75" customHeight="1">
      <c r="A102" s="4" t="s">
        <v>346</v>
      </c>
      <c r="B102" s="4" t="s">
        <v>96</v>
      </c>
      <c r="C102" s="15">
        <v>0.99</v>
      </c>
      <c r="D102" s="4">
        <v>121003.0</v>
      </c>
      <c r="E102" s="4" t="s">
        <v>347</v>
      </c>
      <c r="F102" s="4" t="s">
        <v>149</v>
      </c>
      <c r="G102" s="4" t="s">
        <v>253</v>
      </c>
      <c r="H102" s="16">
        <v>172.8</v>
      </c>
    </row>
    <row r="103" ht="15.75" customHeight="1">
      <c r="A103" s="4" t="s">
        <v>348</v>
      </c>
      <c r="B103" s="4" t="s">
        <v>92</v>
      </c>
      <c r="C103" s="15">
        <v>0.5</v>
      </c>
      <c r="D103" s="4">
        <v>121003.0</v>
      </c>
      <c r="E103" s="4" t="s">
        <v>349</v>
      </c>
      <c r="F103" s="4" t="s">
        <v>149</v>
      </c>
      <c r="G103" s="4" t="s">
        <v>157</v>
      </c>
      <c r="H103" s="16">
        <v>45.4</v>
      </c>
    </row>
    <row r="104" ht="15.75" customHeight="1">
      <c r="A104" s="4" t="s">
        <v>350</v>
      </c>
      <c r="B104" s="4" t="s">
        <v>80</v>
      </c>
      <c r="C104" s="15">
        <v>0.7</v>
      </c>
      <c r="D104" s="4">
        <v>121003.0</v>
      </c>
      <c r="E104" s="4" t="s">
        <v>351</v>
      </c>
      <c r="F104" s="4" t="s">
        <v>149</v>
      </c>
      <c r="G104" s="4" t="s">
        <v>253</v>
      </c>
      <c r="H104" s="16">
        <v>172.8</v>
      </c>
    </row>
    <row r="105" ht="15.75" customHeight="1">
      <c r="A105" s="4" t="s">
        <v>352</v>
      </c>
      <c r="B105" s="4" t="s">
        <v>76</v>
      </c>
      <c r="C105" s="15">
        <v>0.8</v>
      </c>
      <c r="D105" s="4">
        <v>121003.0</v>
      </c>
      <c r="E105" s="4" t="s">
        <v>353</v>
      </c>
      <c r="F105" s="4" t="s">
        <v>148</v>
      </c>
      <c r="G105" s="4" t="s">
        <v>253</v>
      </c>
      <c r="H105" s="16">
        <v>213.5</v>
      </c>
    </row>
    <row r="106" ht="15.75" customHeight="1">
      <c r="A106" s="4" t="s">
        <v>354</v>
      </c>
      <c r="B106" s="4" t="s">
        <v>72</v>
      </c>
      <c r="C106" s="15">
        <v>0.3</v>
      </c>
      <c r="D106" s="4">
        <v>121003.0</v>
      </c>
      <c r="E106" s="4" t="s">
        <v>355</v>
      </c>
      <c r="F106" s="4" t="s">
        <v>147</v>
      </c>
      <c r="G106" s="4" t="s">
        <v>157</v>
      </c>
      <c r="H106" s="16">
        <v>33.0</v>
      </c>
    </row>
    <row r="107" ht="15.75" customHeight="1">
      <c r="A107" s="4" t="s">
        <v>356</v>
      </c>
      <c r="B107" s="4" t="s">
        <v>67</v>
      </c>
      <c r="C107" s="15">
        <v>0.5</v>
      </c>
      <c r="D107" s="4">
        <v>121003.0</v>
      </c>
      <c r="E107" s="4" t="s">
        <v>357</v>
      </c>
      <c r="F107" s="4" t="s">
        <v>149</v>
      </c>
      <c r="G107" s="4" t="s">
        <v>157</v>
      </c>
      <c r="H107" s="16">
        <v>45.4</v>
      </c>
    </row>
    <row r="108" ht="15.75" customHeight="1">
      <c r="A108" s="4" t="s">
        <v>358</v>
      </c>
      <c r="B108" s="4" t="s">
        <v>55</v>
      </c>
      <c r="C108" s="15">
        <v>1.2</v>
      </c>
      <c r="D108" s="4">
        <v>121003.0</v>
      </c>
      <c r="E108" s="4" t="s">
        <v>359</v>
      </c>
      <c r="F108" s="4" t="s">
        <v>149</v>
      </c>
      <c r="G108" s="4" t="s">
        <v>253</v>
      </c>
      <c r="H108" s="16">
        <v>258.9</v>
      </c>
    </row>
    <row r="109" ht="15.75" customHeight="1">
      <c r="A109" s="4" t="s">
        <v>360</v>
      </c>
      <c r="B109" s="4" t="s">
        <v>58</v>
      </c>
      <c r="C109" s="15">
        <v>2.1</v>
      </c>
      <c r="D109" s="4">
        <v>121003.0</v>
      </c>
      <c r="E109" s="4" t="s">
        <v>340</v>
      </c>
      <c r="F109" s="4" t="s">
        <v>149</v>
      </c>
      <c r="G109" s="4" t="s">
        <v>157</v>
      </c>
      <c r="H109" s="16">
        <v>224.6</v>
      </c>
    </row>
    <row r="110" ht="15.75" customHeight="1">
      <c r="A110" s="4" t="s">
        <v>361</v>
      </c>
      <c r="B110" s="4" t="s">
        <v>52</v>
      </c>
      <c r="C110" s="15">
        <v>0.2</v>
      </c>
      <c r="D110" s="4">
        <v>121003.0</v>
      </c>
      <c r="E110" s="4" t="s">
        <v>340</v>
      </c>
      <c r="F110" s="4" t="s">
        <v>149</v>
      </c>
      <c r="G110" s="4" t="s">
        <v>157</v>
      </c>
      <c r="H110" s="16">
        <v>45.4</v>
      </c>
    </row>
    <row r="111" ht="15.75" customHeight="1">
      <c r="A111" s="4" t="s">
        <v>362</v>
      </c>
      <c r="B111" s="4" t="s">
        <v>46</v>
      </c>
      <c r="C111" s="15">
        <v>0.2</v>
      </c>
      <c r="D111" s="4">
        <v>121003.0</v>
      </c>
      <c r="E111" s="4" t="s">
        <v>363</v>
      </c>
      <c r="F111" s="4" t="s">
        <v>149</v>
      </c>
      <c r="G111" s="4" t="s">
        <v>157</v>
      </c>
      <c r="H111" s="16">
        <v>45.4</v>
      </c>
    </row>
    <row r="112" ht="15.75" customHeight="1">
      <c r="A112" s="4" t="s">
        <v>364</v>
      </c>
      <c r="B112" s="4" t="s">
        <v>44</v>
      </c>
      <c r="C112" s="15">
        <v>0.15</v>
      </c>
      <c r="D112" s="4">
        <v>121003.0</v>
      </c>
      <c r="E112" s="4" t="s">
        <v>365</v>
      </c>
      <c r="F112" s="4" t="s">
        <v>149</v>
      </c>
      <c r="G112" s="4" t="s">
        <v>157</v>
      </c>
      <c r="H112" s="16">
        <v>45.4</v>
      </c>
    </row>
    <row r="113" ht="15.75" customHeight="1">
      <c r="A113" s="4" t="s">
        <v>366</v>
      </c>
      <c r="B113" s="4" t="s">
        <v>40</v>
      </c>
      <c r="C113" s="15">
        <v>0.8</v>
      </c>
      <c r="D113" s="4">
        <v>121003.0</v>
      </c>
      <c r="E113" s="4" t="s">
        <v>367</v>
      </c>
      <c r="F113" s="4" t="s">
        <v>149</v>
      </c>
      <c r="G113" s="4" t="s">
        <v>157</v>
      </c>
      <c r="H113" s="16">
        <v>90.2</v>
      </c>
    </row>
    <row r="114" ht="15.75" customHeight="1">
      <c r="A114" s="4" t="s">
        <v>368</v>
      </c>
      <c r="B114" s="4" t="s">
        <v>38</v>
      </c>
      <c r="C114" s="15">
        <v>0.2</v>
      </c>
      <c r="D114" s="4">
        <v>121003.0</v>
      </c>
      <c r="E114" s="4" t="s">
        <v>340</v>
      </c>
      <c r="F114" s="4" t="s">
        <v>149</v>
      </c>
      <c r="G114" s="4" t="s">
        <v>157</v>
      </c>
      <c r="H114" s="16">
        <v>45.4</v>
      </c>
    </row>
    <row r="115" ht="15.75" customHeight="1">
      <c r="A115" s="4" t="s">
        <v>369</v>
      </c>
      <c r="B115" s="4" t="s">
        <v>35</v>
      </c>
      <c r="C115" s="15">
        <v>0.5</v>
      </c>
      <c r="D115" s="4">
        <v>121003.0</v>
      </c>
      <c r="E115" s="4" t="s">
        <v>370</v>
      </c>
      <c r="F115" s="4" t="s">
        <v>149</v>
      </c>
      <c r="G115" s="4" t="s">
        <v>157</v>
      </c>
      <c r="H115" s="16">
        <v>45.4</v>
      </c>
    </row>
    <row r="116" ht="15.75" customHeight="1">
      <c r="A116" s="4" t="s">
        <v>371</v>
      </c>
      <c r="B116" s="4" t="s">
        <v>48</v>
      </c>
      <c r="C116" s="15">
        <v>0.6</v>
      </c>
      <c r="D116" s="4">
        <v>121003.0</v>
      </c>
      <c r="E116" s="4" t="s">
        <v>372</v>
      </c>
      <c r="F116" s="4" t="s">
        <v>149</v>
      </c>
      <c r="G116" s="4" t="s">
        <v>157</v>
      </c>
      <c r="H116" s="16">
        <v>90.2</v>
      </c>
    </row>
    <row r="117" ht="15.75" customHeight="1">
      <c r="A117" s="4" t="s">
        <v>373</v>
      </c>
      <c r="B117" s="4" t="s">
        <v>31</v>
      </c>
      <c r="C117" s="15">
        <v>1.1</v>
      </c>
      <c r="D117" s="4">
        <v>121003.0</v>
      </c>
      <c r="E117" s="4" t="s">
        <v>374</v>
      </c>
      <c r="F117" s="4" t="s">
        <v>149</v>
      </c>
      <c r="G117" s="4" t="s">
        <v>157</v>
      </c>
      <c r="H117" s="16">
        <v>135.0</v>
      </c>
    </row>
    <row r="118" ht="15.75" customHeight="1">
      <c r="A118" s="4" t="s">
        <v>375</v>
      </c>
      <c r="B118" s="4" t="s">
        <v>70</v>
      </c>
      <c r="C118" s="15">
        <v>0.15</v>
      </c>
      <c r="D118" s="4">
        <v>121003.0</v>
      </c>
      <c r="E118" s="4" t="s">
        <v>376</v>
      </c>
      <c r="F118" s="4" t="s">
        <v>149</v>
      </c>
      <c r="G118" s="4" t="s">
        <v>157</v>
      </c>
      <c r="H118" s="16">
        <v>45.4</v>
      </c>
    </row>
    <row r="119" ht="15.75" customHeight="1">
      <c r="A119" s="4" t="s">
        <v>377</v>
      </c>
      <c r="B119" s="4" t="s">
        <v>113</v>
      </c>
      <c r="C119" s="15">
        <v>0.6</v>
      </c>
      <c r="D119" s="4">
        <v>121003.0</v>
      </c>
      <c r="E119" s="4" t="s">
        <v>378</v>
      </c>
      <c r="F119" s="4" t="s">
        <v>149</v>
      </c>
      <c r="G119" s="4" t="s">
        <v>253</v>
      </c>
      <c r="H119" s="16">
        <v>172.8</v>
      </c>
    </row>
    <row r="120" ht="15.75" customHeight="1">
      <c r="A120" s="4" t="s">
        <v>379</v>
      </c>
      <c r="B120" s="4" t="s">
        <v>83</v>
      </c>
      <c r="C120" s="15">
        <v>1.3</v>
      </c>
      <c r="D120" s="4">
        <v>121003.0</v>
      </c>
      <c r="E120" s="4" t="s">
        <v>380</v>
      </c>
      <c r="F120" s="4" t="s">
        <v>147</v>
      </c>
      <c r="G120" s="4" t="s">
        <v>253</v>
      </c>
      <c r="H120" s="16">
        <v>151.1</v>
      </c>
    </row>
    <row r="121" ht="15.75" customHeight="1">
      <c r="A121" s="4" t="s">
        <v>381</v>
      </c>
      <c r="B121" s="4" t="s">
        <v>27</v>
      </c>
      <c r="C121" s="15">
        <v>0.7</v>
      </c>
      <c r="D121" s="4">
        <v>121003.0</v>
      </c>
      <c r="E121" s="4" t="s">
        <v>382</v>
      </c>
      <c r="F121" s="4" t="s">
        <v>149</v>
      </c>
      <c r="G121" s="4" t="s">
        <v>253</v>
      </c>
      <c r="H121" s="16">
        <v>172.8</v>
      </c>
    </row>
    <row r="122" ht="15.75" customHeight="1">
      <c r="A122" s="4" t="s">
        <v>383</v>
      </c>
      <c r="B122" s="4" t="s">
        <v>135</v>
      </c>
      <c r="C122" s="15">
        <v>0.5</v>
      </c>
      <c r="D122" s="4">
        <v>121003.0</v>
      </c>
      <c r="E122" s="4" t="s">
        <v>329</v>
      </c>
      <c r="F122" s="4" t="s">
        <v>147</v>
      </c>
      <c r="G122" s="4" t="s">
        <v>157</v>
      </c>
      <c r="H122" s="16">
        <v>33.0</v>
      </c>
    </row>
    <row r="123" ht="15.75" customHeight="1">
      <c r="A123" s="4" t="s">
        <v>384</v>
      </c>
      <c r="B123" s="4" t="s">
        <v>129</v>
      </c>
      <c r="C123" s="15">
        <v>0.5</v>
      </c>
      <c r="D123" s="4">
        <v>121003.0</v>
      </c>
      <c r="E123" s="4" t="s">
        <v>315</v>
      </c>
      <c r="F123" s="4" t="s">
        <v>149</v>
      </c>
      <c r="G123" s="4" t="s">
        <v>157</v>
      </c>
      <c r="H123" s="16">
        <v>45.4</v>
      </c>
    </row>
    <row r="124" ht="15.75" customHeight="1">
      <c r="A124" s="4" t="s">
        <v>385</v>
      </c>
      <c r="B124" s="4" t="s">
        <v>19</v>
      </c>
      <c r="C124" s="15">
        <v>1.6</v>
      </c>
      <c r="D124" s="4">
        <v>121003.0</v>
      </c>
      <c r="E124" s="4" t="s">
        <v>386</v>
      </c>
      <c r="F124" s="4" t="s">
        <v>149</v>
      </c>
      <c r="G124" s="4" t="s">
        <v>253</v>
      </c>
      <c r="H124" s="16">
        <v>345.0</v>
      </c>
    </row>
    <row r="125" ht="15.75" customHeight="1">
      <c r="A125" s="4" t="s">
        <v>387</v>
      </c>
      <c r="B125" s="4" t="s">
        <v>6</v>
      </c>
      <c r="C125" s="15">
        <v>1.6</v>
      </c>
      <c r="D125" s="4">
        <v>121003.0</v>
      </c>
      <c r="E125" s="4" t="s">
        <v>388</v>
      </c>
      <c r="F125" s="4" t="s">
        <v>147</v>
      </c>
      <c r="G125" s="4" t="s">
        <v>157</v>
      </c>
      <c r="H125" s="16">
        <v>117.9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6.57"/>
    <col customWidth="1" min="3" max="3" width="12.14"/>
    <col customWidth="1" min="4" max="4" width="16.71"/>
    <col customWidth="1" min="5" max="5" width="11.86"/>
    <col customWidth="1" min="6" max="6" width="16.43"/>
    <col customWidth="1" min="7" max="7" width="12.14"/>
    <col customWidth="1" min="8" max="8" width="16.71"/>
    <col customWidth="1" min="9" max="9" width="12.14"/>
    <col customWidth="1" min="10" max="10" width="16.71"/>
    <col customWidth="1" min="11" max="11" width="11.14"/>
    <col customWidth="1" min="12" max="12" width="15.71"/>
    <col customWidth="1" min="13" max="13" width="11.29"/>
    <col customWidth="1" min="14" max="14" width="15.86"/>
    <col customWidth="1" min="15" max="15" width="11.0"/>
    <col customWidth="1" min="16" max="16" width="15.57"/>
    <col customWidth="1" min="17" max="17" width="11.29"/>
    <col customWidth="1" min="18" max="18" width="15.86"/>
    <col customWidth="1" min="19" max="19" width="11.29"/>
    <col customWidth="1" min="20" max="20" width="15.86"/>
    <col customWidth="1" min="21" max="26" width="8.71"/>
  </cols>
  <sheetData>
    <row r="1">
      <c r="A1" s="17" t="s">
        <v>389</v>
      </c>
      <c r="B1" s="17" t="s">
        <v>390</v>
      </c>
      <c r="C1" s="17" t="s">
        <v>391</v>
      </c>
      <c r="D1" s="17" t="s">
        <v>392</v>
      </c>
      <c r="E1" s="17" t="s">
        <v>393</v>
      </c>
      <c r="F1" s="17" t="s">
        <v>394</v>
      </c>
      <c r="G1" s="17" t="s">
        <v>395</v>
      </c>
      <c r="H1" s="17" t="s">
        <v>396</v>
      </c>
      <c r="I1" s="17" t="s">
        <v>397</v>
      </c>
      <c r="J1" s="17" t="s">
        <v>398</v>
      </c>
      <c r="K1" s="17" t="s">
        <v>399</v>
      </c>
      <c r="L1" s="17" t="s">
        <v>400</v>
      </c>
      <c r="M1" s="17" t="s">
        <v>401</v>
      </c>
      <c r="N1" s="17" t="s">
        <v>402</v>
      </c>
      <c r="O1" s="17" t="s">
        <v>403</v>
      </c>
      <c r="P1" s="17" t="s">
        <v>404</v>
      </c>
      <c r="Q1" s="17" t="s">
        <v>405</v>
      </c>
      <c r="R1" s="17" t="s">
        <v>406</v>
      </c>
      <c r="S1" s="17" t="s">
        <v>407</v>
      </c>
      <c r="T1" s="17" t="s">
        <v>408</v>
      </c>
    </row>
    <row r="2">
      <c r="A2" s="5">
        <v>29.5</v>
      </c>
      <c r="B2" s="5">
        <v>23.6</v>
      </c>
      <c r="C2" s="5">
        <v>33.0</v>
      </c>
      <c r="D2" s="5">
        <v>28.3</v>
      </c>
      <c r="E2" s="5">
        <v>40.1</v>
      </c>
      <c r="F2" s="5">
        <v>38.9</v>
      </c>
      <c r="G2" s="5">
        <v>45.4</v>
      </c>
      <c r="H2" s="5">
        <v>44.8</v>
      </c>
      <c r="I2" s="5">
        <v>56.6</v>
      </c>
      <c r="J2" s="5">
        <v>55.5</v>
      </c>
      <c r="K2" s="5">
        <v>13.6</v>
      </c>
      <c r="L2" s="5">
        <v>23.6</v>
      </c>
      <c r="M2" s="5">
        <v>20.5</v>
      </c>
      <c r="N2" s="5">
        <v>28.3</v>
      </c>
      <c r="O2" s="5">
        <v>31.9</v>
      </c>
      <c r="P2" s="5">
        <v>38.9</v>
      </c>
      <c r="Q2" s="5">
        <v>41.3</v>
      </c>
      <c r="R2" s="5">
        <v>44.8</v>
      </c>
      <c r="S2" s="5">
        <v>50.7</v>
      </c>
      <c r="T2" s="5">
        <v>55.5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409</v>
      </c>
    </row>
    <row r="2">
      <c r="A2" s="4" t="str">
        <f>IFS(Calculations!U2&lt;0,"Over charged",Calculations!U2=0,"correct charge",Calculations!U2&gt;0,"Under charged")</f>
        <v>Over charged</v>
      </c>
    </row>
    <row r="3">
      <c r="A3" s="4" t="str">
        <f>IFS(Calculations!U3&lt;0,"Over charged",Calculations!U3=0,"correct charge",Calculations!U3&gt;0,"Under charged")</f>
        <v>Over charged</v>
      </c>
    </row>
    <row r="4">
      <c r="A4" s="4" t="str">
        <f>IFS(Calculations!U4&lt;0,"Over charged",Calculations!U4=0,"correct charge",Calculations!U4&gt;0,"Under charged")</f>
        <v>Over charged</v>
      </c>
    </row>
    <row r="5">
      <c r="A5" s="4" t="str">
        <f>IFS(Calculations!U5&lt;0,"Over charged",Calculations!U5=0,"correct charge",Calculations!U5&gt;0,"Under charged")</f>
        <v>correct charge</v>
      </c>
    </row>
    <row r="6">
      <c r="A6" s="4" t="str">
        <f>IFS(Calculations!U6&lt;0,"Over charged",Calculations!U6=0,"correct charge",Calculations!U6&gt;0,"Under charged")</f>
        <v>Over charged</v>
      </c>
    </row>
    <row r="7">
      <c r="A7" s="4" t="str">
        <f>IFS(Calculations!U7&lt;0,"Over charged",Calculations!U7=0,"correct charge",Calculations!U7&gt;0,"Under charged")</f>
        <v>Over charged</v>
      </c>
    </row>
    <row r="8">
      <c r="A8" s="4" t="str">
        <f>IFS(Calculations!U8&lt;0,"Over charged",Calculations!U8=0,"correct charge",Calculations!U8&gt;0,"Under charged")</f>
        <v>correct charge</v>
      </c>
    </row>
    <row r="9">
      <c r="A9" s="4" t="str">
        <f>IFS(Calculations!U9&lt;0,"Over charged",Calculations!U9=0,"correct charge",Calculations!U9&gt;0,"Under charged")</f>
        <v>Over charged</v>
      </c>
    </row>
    <row r="10">
      <c r="A10" s="4" t="str">
        <f>IFS(Calculations!U10&lt;0,"Over charged",Calculations!U10=0,"correct charge",Calculations!U10&gt;0,"Under charged")</f>
        <v>Over charged</v>
      </c>
    </row>
    <row r="11">
      <c r="A11" s="4" t="str">
        <f>IFS(Calculations!U11&lt;0,"Over charged",Calculations!U11=0,"correct charge",Calculations!U11&gt;0,"Under charged")</f>
        <v>correct charge</v>
      </c>
    </row>
    <row r="12">
      <c r="A12" s="4" t="str">
        <f>IFS(Calculations!U12&lt;0,"Over charged",Calculations!U12=0,"correct charge",Calculations!U12&gt;0,"Under charged")</f>
        <v>Over charged</v>
      </c>
    </row>
    <row r="13">
      <c r="A13" s="4" t="str">
        <f>IFS(Calculations!U13&lt;0,"Over charged",Calculations!U13=0,"correct charge",Calculations!U13&gt;0,"Under charged")</f>
        <v>correct charge</v>
      </c>
    </row>
    <row r="14">
      <c r="A14" s="4" t="str">
        <f>IFS(Calculations!U14&lt;0,"Over charged",Calculations!U14=0,"correct charge",Calculations!U14&gt;0,"Under charged")</f>
        <v>Over charged</v>
      </c>
    </row>
    <row r="15">
      <c r="A15" s="4" t="str">
        <f>IFS(Calculations!U15&lt;0,"Over charged",Calculations!U15=0,"correct charge",Calculations!U15&gt;0,"Under charged")</f>
        <v>Over charged</v>
      </c>
    </row>
    <row r="16">
      <c r="A16" s="4" t="str">
        <f>IFS(Calculations!U16&lt;0,"Over charged",Calculations!U16=0,"correct charge",Calculations!U16&gt;0,"Under charged")</f>
        <v>Over charged</v>
      </c>
    </row>
    <row r="17">
      <c r="A17" s="4" t="str">
        <f>IFS(Calculations!U17&lt;0,"Over charged",Calculations!U17=0,"correct charge",Calculations!U17&gt;0,"Under charged")</f>
        <v>Over charged</v>
      </c>
    </row>
    <row r="18">
      <c r="A18" s="4" t="str">
        <f>IFS(Calculations!U18&lt;0,"Over charged",Calculations!U18=0,"correct charge",Calculations!U18&gt;0,"Under charged")</f>
        <v>Over charged</v>
      </c>
    </row>
    <row r="19">
      <c r="A19" s="4" t="str">
        <f>IFS(Calculations!U19&lt;0,"Over charged",Calculations!U19=0,"correct charge",Calculations!U19&gt;0,"Under charged")</f>
        <v>Over charged</v>
      </c>
    </row>
    <row r="20">
      <c r="A20" s="4" t="str">
        <f>IFS(Calculations!U20&lt;0,"Over charged",Calculations!U20=0,"correct charge",Calculations!U20&gt;0,"Under charged")</f>
        <v>Over charged</v>
      </c>
    </row>
    <row r="21">
      <c r="A21" s="4" t="str">
        <f>IFS(Calculations!U21&lt;0,"Over charged",Calculations!U21=0,"correct charge",Calculations!U21&gt;0,"Under charged")</f>
        <v>Over charged</v>
      </c>
    </row>
    <row r="22">
      <c r="A22" s="4" t="str">
        <f>IFS(Calculations!U22&lt;0,"Over charged",Calculations!U22=0,"correct charge",Calculations!U22&gt;0,"Under charged")</f>
        <v>Over charged</v>
      </c>
    </row>
    <row r="23">
      <c r="A23" s="4" t="str">
        <f>IFS(Calculations!U23&lt;0,"Over charged",Calculations!U23=0,"correct charge",Calculations!U23&gt;0,"Under charged")</f>
        <v>Over charged</v>
      </c>
    </row>
    <row r="24">
      <c r="A24" s="4" t="str">
        <f>IFS(Calculations!U24&lt;0,"Over charged",Calculations!U24=0,"correct charge",Calculations!U24&gt;0,"Under charged")</f>
        <v>Over charged</v>
      </c>
    </row>
    <row r="25">
      <c r="A25" s="4" t="str">
        <f>IFS(Calculations!U25&lt;0,"Over charged",Calculations!U25=0,"correct charge",Calculations!U25&gt;0,"Under charged")</f>
        <v>Over charged</v>
      </c>
    </row>
    <row r="26">
      <c r="A26" s="4" t="str">
        <f>IFS(Calculations!U26&lt;0,"Over charged",Calculations!U26=0,"correct charge",Calculations!U26&gt;0,"Under charged")</f>
        <v>Over charged</v>
      </c>
    </row>
    <row r="27">
      <c r="A27" s="4" t="str">
        <f>IFS(Calculations!U27&lt;0,"Over charged",Calculations!U27=0,"correct charge",Calculations!U27&gt;0,"Under charged")</f>
        <v>Over charged</v>
      </c>
    </row>
    <row r="28">
      <c r="A28" s="4" t="str">
        <f>IFS(Calculations!U28&lt;0,"Over charged",Calculations!U28=0,"correct charge",Calculations!U28&gt;0,"Under charged")</f>
        <v>Over charged</v>
      </c>
    </row>
    <row r="29">
      <c r="A29" s="4" t="str">
        <f>IFS(Calculations!U29&lt;0,"Over charged",Calculations!U29=0,"correct charge",Calculations!U29&gt;0,"Under charged")</f>
        <v>Over charged</v>
      </c>
    </row>
    <row r="30">
      <c r="A30" s="4" t="str">
        <f>IFS(Calculations!U30&lt;0,"Over charged",Calculations!U30=0,"correct charge",Calculations!U30&gt;0,"Under charged")</f>
        <v>Over charged</v>
      </c>
    </row>
    <row r="31">
      <c r="A31" s="4" t="str">
        <f>IFS(Calculations!U31&lt;0,"Over charged",Calculations!U31=0,"correct charge",Calculations!U31&gt;0,"Under charged")</f>
        <v>correct charge</v>
      </c>
    </row>
    <row r="32">
      <c r="A32" s="4" t="str">
        <f>IFS(Calculations!U32&lt;0,"Over charged",Calculations!U32=0,"correct charge",Calculations!U32&gt;0,"Under charged")</f>
        <v>correct charge</v>
      </c>
    </row>
    <row r="33">
      <c r="A33" s="4" t="str">
        <f>IFS(Calculations!U33&lt;0,"Over charged",Calculations!U33=0,"correct charge",Calculations!U33&gt;0,"Under charged")</f>
        <v>correct charge</v>
      </c>
    </row>
    <row r="34">
      <c r="A34" s="4" t="str">
        <f>IFS(Calculations!U34&lt;0,"Over charged",Calculations!U34=0,"correct charge",Calculations!U34&gt;0,"Under charged")</f>
        <v>Over charged</v>
      </c>
    </row>
    <row r="35">
      <c r="A35" s="4" t="str">
        <f>IFS(Calculations!U35&lt;0,"Over charged",Calculations!U35=0,"correct charge",Calculations!U35&gt;0,"Under charged")</f>
        <v>correct charge</v>
      </c>
    </row>
    <row r="36">
      <c r="A36" s="4" t="str">
        <f>IFS(Calculations!U36&lt;0,"Over charged",Calculations!U36=0,"correct charge",Calculations!U36&gt;0,"Under charged")</f>
        <v>Over charged</v>
      </c>
    </row>
    <row r="37">
      <c r="A37" s="4" t="str">
        <f>IFS(Calculations!U37&lt;0,"Over charged",Calculations!U37=0,"correct charge",Calculations!U37&gt;0,"Under charged")</f>
        <v>correct charge</v>
      </c>
    </row>
    <row r="38">
      <c r="A38" s="4" t="str">
        <f>IFS(Calculations!U38&lt;0,"Over charged",Calculations!U38=0,"correct charge",Calculations!U38&gt;0,"Under charged")</f>
        <v>Over charged</v>
      </c>
    </row>
    <row r="39">
      <c r="A39" s="4" t="str">
        <f>IFS(Calculations!U39&lt;0,"Over charged",Calculations!U39=0,"correct charge",Calculations!U39&gt;0,"Under charged")</f>
        <v>correct charge</v>
      </c>
    </row>
    <row r="40">
      <c r="A40" s="4" t="str">
        <f>IFS(Calculations!U40&lt;0,"Over charged",Calculations!U40=0,"correct charge",Calculations!U40&gt;0,"Under charged")</f>
        <v>Over charged</v>
      </c>
    </row>
    <row r="41">
      <c r="A41" s="4" t="str">
        <f>IFS(Calculations!U41&lt;0,"Over charged",Calculations!U41=0,"correct charge",Calculations!U41&gt;0,"Under charged")</f>
        <v>Under charged</v>
      </c>
    </row>
    <row r="42">
      <c r="A42" s="4" t="str">
        <f>IFS(Calculations!U42&lt;0,"Over charged",Calculations!U42=0,"correct charge",Calculations!U42&gt;0,"Under charged")</f>
        <v>Under charged</v>
      </c>
    </row>
    <row r="43">
      <c r="A43" s="4" t="str">
        <f>IFS(Calculations!U43&lt;0,"Over charged",Calculations!U43=0,"correct charge",Calculations!U43&gt;0,"Under charged")</f>
        <v>Over charged</v>
      </c>
    </row>
    <row r="44">
      <c r="A44" s="4" t="str">
        <f>IFS(Calculations!U44&lt;0,"Over charged",Calculations!U44=0,"correct charge",Calculations!U44&gt;0,"Under charged")</f>
        <v>correct charge</v>
      </c>
    </row>
    <row r="45">
      <c r="A45" s="4" t="str">
        <f>IFS(Calculations!U45&lt;0,"Over charged",Calculations!U45=0,"correct charge",Calculations!U45&gt;0,"Under charged")</f>
        <v>Over charged</v>
      </c>
    </row>
    <row r="46">
      <c r="A46" s="4" t="str">
        <f>IFS(Calculations!U46&lt;0,"Over charged",Calculations!U46=0,"correct charge",Calculations!U46&gt;0,"Under charged")</f>
        <v>correct charge</v>
      </c>
    </row>
    <row r="47">
      <c r="A47" s="4" t="str">
        <f>IFS(Calculations!U47&lt;0,"Over charged",Calculations!U47=0,"correct charge",Calculations!U47&gt;0,"Under charged")</f>
        <v>correct charge</v>
      </c>
    </row>
    <row r="48">
      <c r="A48" s="4" t="str">
        <f>IFS(Calculations!U48&lt;0,"Over charged",Calculations!U48=0,"correct charge",Calculations!U48&gt;0,"Under charged")</f>
        <v>correct charge</v>
      </c>
    </row>
    <row r="49">
      <c r="A49" s="4" t="str">
        <f>IFS(Calculations!U49&lt;0,"Over charged",Calculations!U49=0,"correct charge",Calculations!U49&gt;0,"Under charged")</f>
        <v>Over charged</v>
      </c>
    </row>
    <row r="50">
      <c r="A50" s="4" t="str">
        <f>IFS(Calculations!U50&lt;0,"Over charged",Calculations!U50=0,"correct charge",Calculations!U50&gt;0,"Under charged")</f>
        <v>Under charged</v>
      </c>
    </row>
    <row r="51">
      <c r="A51" s="4" t="str">
        <f>IFS(Calculations!U51&lt;0,"Over charged",Calculations!U51=0,"correct charge",Calculations!U51&gt;0,"Under charged")</f>
        <v>Over charged</v>
      </c>
    </row>
    <row r="52">
      <c r="A52" s="4" t="str">
        <f>IFS(Calculations!U52&lt;0,"Over charged",Calculations!U52=0,"correct charge",Calculations!U52&gt;0,"Under charged")</f>
        <v>correct charge</v>
      </c>
    </row>
    <row r="53">
      <c r="A53" s="4" t="str">
        <f>IFS(Calculations!U53&lt;0,"Over charged",Calculations!U53=0,"correct charge",Calculations!U53&gt;0,"Under charged")</f>
        <v>Over charged</v>
      </c>
    </row>
    <row r="54">
      <c r="A54" s="4" t="str">
        <f>IFS(Calculations!U54&lt;0,"Over charged",Calculations!U54=0,"correct charge",Calculations!U54&gt;0,"Under charged")</f>
        <v>Over charged</v>
      </c>
    </row>
    <row r="55">
      <c r="A55" s="4" t="str">
        <f>IFS(Calculations!U55&lt;0,"Over charged",Calculations!U55=0,"correct charge",Calculations!U55&gt;0,"Under charged")</f>
        <v>correct charge</v>
      </c>
    </row>
    <row r="56">
      <c r="A56" s="4" t="str">
        <f>IFS(Calculations!U56&lt;0,"Over charged",Calculations!U56=0,"correct charge",Calculations!U56&gt;0,"Under charged")</f>
        <v>correct charge</v>
      </c>
    </row>
    <row r="57">
      <c r="A57" s="4" t="str">
        <f>IFS(Calculations!U57&lt;0,"Over charged",Calculations!U57=0,"correct charge",Calculations!U57&gt;0,"Under charged")</f>
        <v>correct charge</v>
      </c>
    </row>
    <row r="58">
      <c r="A58" s="4" t="str">
        <f>IFS(Calculations!U58&lt;0,"Over charged",Calculations!U58=0,"correct charge",Calculations!U58&gt;0,"Under charged")</f>
        <v>Over charged</v>
      </c>
    </row>
    <row r="59">
      <c r="A59" s="4" t="str">
        <f>IFS(Calculations!U59&lt;0,"Over charged",Calculations!U59=0,"correct charge",Calculations!U59&gt;0,"Under charged")</f>
        <v>correct charge</v>
      </c>
    </row>
    <row r="60">
      <c r="A60" s="4" t="str">
        <f>IFS(Calculations!U60&lt;0,"Over charged",Calculations!U60=0,"correct charge",Calculations!U60&gt;0,"Under charged")</f>
        <v>Over charged</v>
      </c>
    </row>
    <row r="61">
      <c r="A61" s="4" t="str">
        <f>IFS(Calculations!U61&lt;0,"Over charged",Calculations!U61=0,"correct charge",Calculations!U61&gt;0,"Under charged")</f>
        <v>correct charge</v>
      </c>
    </row>
    <row r="62">
      <c r="A62" s="4" t="str">
        <f>IFS(Calculations!U62&lt;0,"Over charged",Calculations!U62=0,"correct charge",Calculations!U62&gt;0,"Under charged")</f>
        <v>correct charge</v>
      </c>
    </row>
    <row r="63">
      <c r="A63" s="4" t="str">
        <f>IFS(Calculations!U63&lt;0,"Over charged",Calculations!U63=0,"correct charge",Calculations!U63&gt;0,"Under charged")</f>
        <v>Over charged</v>
      </c>
    </row>
    <row r="64">
      <c r="A64" s="4" t="str">
        <f>IFS(Calculations!U64&lt;0,"Over charged",Calculations!U64=0,"correct charge",Calculations!U64&gt;0,"Under charged")</f>
        <v>Over charged</v>
      </c>
    </row>
    <row r="65">
      <c r="A65" s="4" t="str">
        <f>IFS(Calculations!U65&lt;0,"Over charged",Calculations!U65=0,"correct charge",Calculations!U65&gt;0,"Under charged")</f>
        <v>correct charge</v>
      </c>
    </row>
    <row r="66">
      <c r="A66" s="4" t="str">
        <f>IFS(Calculations!U66&lt;0,"Over charged",Calculations!U66=0,"correct charge",Calculations!U66&gt;0,"Under charged")</f>
        <v>Over charged</v>
      </c>
    </row>
    <row r="67">
      <c r="A67" s="4" t="str">
        <f>IFS(Calculations!U67&lt;0,"Over charged",Calculations!U67=0,"correct charge",Calculations!U67&gt;0,"Under charged")</f>
        <v>Over charged</v>
      </c>
    </row>
    <row r="68">
      <c r="A68" s="4" t="str">
        <f>IFS(Calculations!U68&lt;0,"Over charged",Calculations!U68=0,"correct charge",Calculations!U68&gt;0,"Under charged")</f>
        <v>Over charged</v>
      </c>
    </row>
    <row r="69">
      <c r="A69" s="4" t="str">
        <f>IFS(Calculations!U69&lt;0,"Over charged",Calculations!U69=0,"correct charge",Calculations!U69&gt;0,"Under charged")</f>
        <v>Over charged</v>
      </c>
    </row>
    <row r="70">
      <c r="A70" s="4" t="str">
        <f>IFS(Calculations!U70&lt;0,"Over charged",Calculations!U70=0,"correct charge",Calculations!U70&gt;0,"Under charged")</f>
        <v>Over charged</v>
      </c>
    </row>
    <row r="71">
      <c r="A71" s="4" t="str">
        <f>IFS(Calculations!U71&lt;0,"Over charged",Calculations!U71=0,"correct charge",Calculations!U71&gt;0,"Under charged")</f>
        <v>Over charged</v>
      </c>
    </row>
    <row r="72">
      <c r="A72" s="4" t="str">
        <f>IFS(Calculations!U72&lt;0,"Over charged",Calculations!U72=0,"correct charge",Calculations!U72&gt;0,"Under charged")</f>
        <v>Over charged</v>
      </c>
    </row>
    <row r="73">
      <c r="A73" s="4" t="str">
        <f>IFS(Calculations!U73&lt;0,"Over charged",Calculations!U73=0,"correct charge",Calculations!U73&gt;0,"Under charged")</f>
        <v>Under charged</v>
      </c>
    </row>
    <row r="74">
      <c r="A74" s="4" t="str">
        <f>IFS(Calculations!U74&lt;0,"Over charged",Calculations!U74=0,"correct charge",Calculations!U74&gt;0,"Under charged")</f>
        <v>Under charged</v>
      </c>
    </row>
    <row r="75">
      <c r="A75" s="4" t="str">
        <f>IFS(Calculations!U75&lt;0,"Over charged",Calculations!U75=0,"correct charge",Calculations!U75&gt;0,"Under charged")</f>
        <v>Under charged</v>
      </c>
    </row>
    <row r="76">
      <c r="A76" s="4" t="str">
        <f>IFS(Calculations!U76&lt;0,"Over charged",Calculations!U76=0,"correct charge",Calculations!U76&gt;0,"Under charged")</f>
        <v>Under charged</v>
      </c>
    </row>
    <row r="77">
      <c r="A77" s="4" t="str">
        <f>IFS(Calculations!U77&lt;0,"Over charged",Calculations!U77=0,"correct charge",Calculations!U77&gt;0,"Under charged")</f>
        <v>Over charged</v>
      </c>
    </row>
    <row r="78">
      <c r="A78" s="4" t="str">
        <f>IFS(Calculations!U78&lt;0,"Over charged",Calculations!U78=0,"correct charge",Calculations!U78&gt;0,"Under charged")</f>
        <v>Over charged</v>
      </c>
    </row>
    <row r="79">
      <c r="A79" s="4" t="str">
        <f>IFS(Calculations!U79&lt;0,"Over charged",Calculations!U79=0,"correct charge",Calculations!U79&gt;0,"Under charged")</f>
        <v>Over charged</v>
      </c>
    </row>
    <row r="80">
      <c r="A80" s="4" t="str">
        <f>IFS(Calculations!U80&lt;0,"Over charged",Calculations!U80=0,"correct charge",Calculations!U80&gt;0,"Under charged")</f>
        <v>Over charged</v>
      </c>
    </row>
    <row r="81">
      <c r="A81" s="4" t="str">
        <f>IFS(Calculations!U81&lt;0,"Over charged",Calculations!U81=0,"correct charge",Calculations!U81&gt;0,"Under charged")</f>
        <v>Over charged</v>
      </c>
    </row>
    <row r="82">
      <c r="A82" s="4" t="str">
        <f>IFS(Calculations!U82&lt;0,"Over charged",Calculations!U82=0,"correct charge",Calculations!U82&gt;0,"Under charged")</f>
        <v>Over charged</v>
      </c>
    </row>
    <row r="83">
      <c r="A83" s="4" t="str">
        <f>IFS(Calculations!U83&lt;0,"Over charged",Calculations!U83=0,"correct charge",Calculations!U83&gt;0,"Under charged")</f>
        <v>Over charged</v>
      </c>
    </row>
    <row r="84">
      <c r="A84" s="4" t="str">
        <f>IFS(Calculations!U84&lt;0,"Over charged",Calculations!U84=0,"correct charge",Calculations!U84&gt;0,"Under charged")</f>
        <v>Over charged</v>
      </c>
    </row>
    <row r="85">
      <c r="A85" s="4" t="str">
        <f>IFS(Calculations!U85&lt;0,"Over charged",Calculations!U85=0,"correct charge",Calculations!U85&gt;0,"Under charged")</f>
        <v>Over charged</v>
      </c>
    </row>
    <row r="86">
      <c r="A86" s="4" t="str">
        <f>IFS(Calculations!U86&lt;0,"Over charged",Calculations!U86=0,"correct charge",Calculations!U86&gt;0,"Under charged")</f>
        <v>Under charged</v>
      </c>
    </row>
    <row r="87">
      <c r="A87" s="4" t="str">
        <f>IFS(Calculations!U87&lt;0,"Over charged",Calculations!U87=0,"correct charge",Calculations!U87&gt;0,"Under charged")</f>
        <v>Over charged</v>
      </c>
    </row>
    <row r="88">
      <c r="A88" s="4" t="str">
        <f>IFS(Calculations!U88&lt;0,"Over charged",Calculations!U88=0,"correct charge",Calculations!U88&gt;0,"Under charged")</f>
        <v>Over charged</v>
      </c>
    </row>
    <row r="89">
      <c r="A89" s="4" t="str">
        <f>IFS(Calculations!U89&lt;0,"Over charged",Calculations!U89=0,"correct charge",Calculations!U89&gt;0,"Under charged")</f>
        <v>Over charged</v>
      </c>
    </row>
    <row r="90">
      <c r="A90" s="4" t="str">
        <f>IFS(Calculations!U90&lt;0,"Over charged",Calculations!U90=0,"correct charge",Calculations!U90&gt;0,"Under charged")</f>
        <v>Over charged</v>
      </c>
    </row>
    <row r="91">
      <c r="A91" s="4" t="str">
        <f>IFS(Calculations!U91&lt;0,"Over charged",Calculations!U91=0,"correct charge",Calculations!U91&gt;0,"Under charged")</f>
        <v>Under charged</v>
      </c>
    </row>
    <row r="92">
      <c r="A92" s="4" t="str">
        <f>IFS(Calculations!U92&lt;0,"Over charged",Calculations!U92=0,"correct charge",Calculations!U92&gt;0,"Under charged")</f>
        <v>Over charged</v>
      </c>
    </row>
    <row r="93">
      <c r="A93" s="4" t="str">
        <f>IFS(Calculations!U93&lt;0,"Over charged",Calculations!U93=0,"correct charge",Calculations!U93&gt;0,"Under charged")</f>
        <v>Over charged</v>
      </c>
    </row>
    <row r="94">
      <c r="A94" s="4" t="str">
        <f>IFS(Calculations!U94&lt;0,"Over charged",Calculations!U94=0,"correct charge",Calculations!U94&gt;0,"Under charged")</f>
        <v>Under charged</v>
      </c>
    </row>
    <row r="95">
      <c r="A95" s="4" t="str">
        <f>IFS(Calculations!U95&lt;0,"Over charged",Calculations!U95=0,"correct charge",Calculations!U95&gt;0,"Under charged")</f>
        <v>Over charged</v>
      </c>
    </row>
    <row r="96">
      <c r="A96" s="4" t="str">
        <f>IFS(Calculations!U96&lt;0,"Over charged",Calculations!U96=0,"correct charge",Calculations!U96&gt;0,"Under charged")</f>
        <v>Over charged</v>
      </c>
    </row>
    <row r="97">
      <c r="A97" s="4" t="str">
        <f>IFS(Calculations!U97&lt;0,"Over charged",Calculations!U97=0,"correct charge",Calculations!U97&gt;0,"Under charged")</f>
        <v>Over charged</v>
      </c>
    </row>
    <row r="98">
      <c r="A98" s="4" t="str">
        <f>IFS(Calculations!U98&lt;0,"Over charged",Calculations!U98=0,"correct charge",Calculations!U98&gt;0,"Under charged")</f>
        <v>Over charged</v>
      </c>
    </row>
    <row r="99">
      <c r="A99" s="4" t="str">
        <f>IFS(Calculations!U99&lt;0,"Over charged",Calculations!U99=0,"correct charge",Calculations!U99&gt;0,"Under charged")</f>
        <v>Over charged</v>
      </c>
    </row>
    <row r="100">
      <c r="A100" s="4" t="str">
        <f>IFS(Calculations!U100&lt;0,"Over charged",Calculations!U100=0,"correct charge",Calculations!U100&gt;0,"Under charged")</f>
        <v>Over charged</v>
      </c>
    </row>
    <row r="101">
      <c r="A101" s="4" t="str">
        <f>IFS(Calculations!U101&lt;0,"Over charged",Calculations!U101=0,"correct charge",Calculations!U101&gt;0,"Under charged")</f>
        <v>Over charged</v>
      </c>
    </row>
    <row r="102">
      <c r="A102" s="4" t="str">
        <f>IFS(Calculations!U102&lt;0,"Over charged",Calculations!U102=0,"correct charge",Calculations!U102&gt;0,"Under charged")</f>
        <v>Under charged</v>
      </c>
    </row>
    <row r="103">
      <c r="A103" s="4" t="str">
        <f>IFS(Calculations!U103&lt;0,"Over charged",Calculations!U103=0,"correct charge",Calculations!U103&gt;0,"Under charged")</f>
        <v>Over charged</v>
      </c>
    </row>
    <row r="104">
      <c r="A104" s="4" t="str">
        <f>IFS(Calculations!U104&lt;0,"Over charged",Calculations!U104=0,"correct charge",Calculations!U104&gt;0,"Under charged")</f>
        <v>Under charged</v>
      </c>
    </row>
    <row r="105">
      <c r="A105" s="4" t="str">
        <f>IFS(Calculations!U105&lt;0,"Over charged",Calculations!U105=0,"correct charge",Calculations!U105&gt;0,"Under charged")</f>
        <v>Under charged</v>
      </c>
    </row>
    <row r="106">
      <c r="A106" s="4" t="str">
        <f>IFS(Calculations!U106&lt;0,"Over charged",Calculations!U106=0,"correct charge",Calculations!U106&gt;0,"Under charged")</f>
        <v>Under charged</v>
      </c>
    </row>
    <row r="107">
      <c r="A107" s="4" t="str">
        <f>IFS(Calculations!U107&lt;0,"Over charged",Calculations!U107=0,"correct charge",Calculations!U107&gt;0,"Under charged")</f>
        <v>Under charged</v>
      </c>
    </row>
    <row r="108">
      <c r="A108" s="4" t="str">
        <f>IFS(Calculations!U108&lt;0,"Over charged",Calculations!U108=0,"correct charge",Calculations!U108&gt;0,"Under charged")</f>
        <v>Under charged</v>
      </c>
    </row>
    <row r="109">
      <c r="A109" s="4" t="str">
        <f>IFS(Calculations!U109&lt;0,"Over charged",Calculations!U109=0,"correct charge",Calculations!U109&gt;0,"Under charged")</f>
        <v>Over charged</v>
      </c>
    </row>
    <row r="110">
      <c r="A110" s="4" t="str">
        <f>IFS(Calculations!U110&lt;0,"Over charged",Calculations!U110=0,"correct charge",Calculations!U110&gt;0,"Under charged")</f>
        <v>Over charged</v>
      </c>
    </row>
    <row r="111">
      <c r="A111" s="4" t="str">
        <f>IFS(Calculations!U111&lt;0,"Over charged",Calculations!U111=0,"correct charge",Calculations!U111&gt;0,"Under charged")</f>
        <v>Over charged</v>
      </c>
    </row>
    <row r="112">
      <c r="A112" s="4" t="str">
        <f>IFS(Calculations!U112&lt;0,"Over charged",Calculations!U112=0,"correct charge",Calculations!U112&gt;0,"Under charged")</f>
        <v>Over charged</v>
      </c>
    </row>
    <row r="113">
      <c r="A113" s="4" t="str">
        <f>IFS(Calculations!U113&lt;0,"Over charged",Calculations!U113=0,"correct charge",Calculations!U113&gt;0,"Under charged")</f>
        <v>Over charged</v>
      </c>
    </row>
    <row r="114">
      <c r="A114" s="4" t="str">
        <f>IFS(Calculations!U114&lt;0,"Over charged",Calculations!U114=0,"correct charge",Calculations!U114&gt;0,"Under charged")</f>
        <v>Over charged</v>
      </c>
    </row>
    <row r="115">
      <c r="A115" s="4" t="str">
        <f>IFS(Calculations!U115&lt;0,"Over charged",Calculations!U115=0,"correct charge",Calculations!U115&gt;0,"Under charged")</f>
        <v>Over charged</v>
      </c>
    </row>
    <row r="116">
      <c r="A116" s="4" t="str">
        <f>IFS(Calculations!U116&lt;0,"Over charged",Calculations!U116=0,"correct charge",Calculations!U116&gt;0,"Under charged")</f>
        <v>Over charged</v>
      </c>
    </row>
    <row r="117">
      <c r="A117" s="4" t="str">
        <f>IFS(Calculations!U117&lt;0,"Over charged",Calculations!U117=0,"correct charge",Calculations!U117&gt;0,"Under charged")</f>
        <v>Over charged</v>
      </c>
    </row>
    <row r="118">
      <c r="A118" s="4" t="str">
        <f>IFS(Calculations!U118&lt;0,"Over charged",Calculations!U118=0,"correct charge",Calculations!U118&gt;0,"Under charged")</f>
        <v>Over charged</v>
      </c>
    </row>
    <row r="119">
      <c r="A119" s="4" t="str">
        <f>IFS(Calculations!U119&lt;0,"Over charged",Calculations!U119=0,"correct charge",Calculations!U119&gt;0,"Under charged")</f>
        <v>Under charged</v>
      </c>
    </row>
    <row r="120">
      <c r="A120" s="4" t="str">
        <f>IFS(Calculations!U120&lt;0,"Over charged",Calculations!U120=0,"correct charge",Calculations!U120&gt;0,"Under charged")</f>
        <v>Under charged</v>
      </c>
    </row>
    <row r="121">
      <c r="A121" s="4" t="str">
        <f>IFS(Calculations!U121&lt;0,"Over charged",Calculations!U121=0,"correct charge",Calculations!U121&gt;0,"Under charged")</f>
        <v>Under charged</v>
      </c>
    </row>
    <row r="122">
      <c r="A122" s="4" t="str">
        <f>IFS(Calculations!U122&lt;0,"Over charged",Calculations!U122=0,"correct charge",Calculations!U122&gt;0,"Under charged")</f>
        <v>Under charged</v>
      </c>
    </row>
    <row r="123">
      <c r="A123" s="4" t="str">
        <f>IFS(Calculations!U123&lt;0,"Over charged",Calculations!U123=0,"correct charge",Calculations!U123&gt;0,"Under charged")</f>
        <v>Under charged</v>
      </c>
    </row>
    <row r="124">
      <c r="A124" s="4" t="str">
        <f>IFS(Calculations!U124&lt;0,"Over charged",Calculations!U124=0,"correct charge",Calculations!U124&gt;0,"Under charged")</f>
        <v>Under charged</v>
      </c>
    </row>
    <row r="125">
      <c r="A125" s="4" t="str">
        <f>IFS(Calculations!U125&lt;0,"Over charged",Calculations!U125=0,"correct charge",Calculations!U125&gt;0,"Under charged")</f>
        <v>Under charged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9.29"/>
    <col customWidth="1" min="5" max="5" width="28.14"/>
    <col customWidth="1" min="6" max="6" width="29.86"/>
    <col customWidth="1" min="8" max="8" width="29.29"/>
    <col customWidth="1" min="9" max="9" width="28.14"/>
    <col customWidth="1" min="10" max="10" width="29.86"/>
  </cols>
  <sheetData>
    <row r="2">
      <c r="A2" s="18">
        <v>-141.5</v>
      </c>
      <c r="B2" s="4" t="str">
        <f t="shared" ref="B2:B125" si="2">IFS(A2=0,"correct charge",AND(A2&gt;0,A2&lt;&gt;0),"Under charged",and(A2&lt;0,A2&lt;&gt;0),"Over charged")</f>
        <v>Over charged</v>
      </c>
      <c r="D2" s="19">
        <v>33.0</v>
      </c>
      <c r="E2" s="20">
        <v>174.5</v>
      </c>
      <c r="F2" s="19">
        <f t="shared" ref="F2:F125" si="3">(D2-E2)</f>
        <v>-141.5</v>
      </c>
      <c r="H2" s="19">
        <f t="shared" ref="H2:I2" si="1">Round(D2,20)</f>
        <v>33</v>
      </c>
      <c r="I2" s="20">
        <f t="shared" si="1"/>
        <v>174.5</v>
      </c>
      <c r="J2" s="19">
        <f t="shared" ref="J2:J125" si="5">(H2-I2)</f>
        <v>-141.5</v>
      </c>
    </row>
    <row r="3">
      <c r="A3" s="18">
        <v>-44.800000000000004</v>
      </c>
      <c r="B3" s="4" t="str">
        <f t="shared" si="2"/>
        <v>Over charged</v>
      </c>
      <c r="D3" s="19">
        <v>45.4</v>
      </c>
      <c r="E3" s="20">
        <v>90.2</v>
      </c>
      <c r="F3" s="19">
        <f t="shared" si="3"/>
        <v>-44.8</v>
      </c>
      <c r="H3" s="19">
        <f t="shared" ref="H3:I3" si="4">Round(D3,20)</f>
        <v>45.4</v>
      </c>
      <c r="I3" s="20">
        <f t="shared" si="4"/>
        <v>90.2</v>
      </c>
      <c r="J3" s="19">
        <f t="shared" si="5"/>
        <v>-44.8</v>
      </c>
    </row>
    <row r="4">
      <c r="A4" s="18">
        <v>-44.800000000000004</v>
      </c>
      <c r="B4" s="4" t="str">
        <f t="shared" si="2"/>
        <v>Over charged</v>
      </c>
      <c r="D4" s="19">
        <v>45.4</v>
      </c>
      <c r="E4" s="20">
        <v>90.2</v>
      </c>
      <c r="F4" s="19">
        <f t="shared" si="3"/>
        <v>-44.8</v>
      </c>
      <c r="H4" s="19">
        <f t="shared" ref="H4:I4" si="6">Round(D4,20)</f>
        <v>45.4</v>
      </c>
      <c r="I4" s="20">
        <f t="shared" si="6"/>
        <v>90.2</v>
      </c>
      <c r="J4" s="19">
        <f t="shared" si="5"/>
        <v>-44.8</v>
      </c>
    </row>
    <row r="5">
      <c r="A5" s="18">
        <v>0.0</v>
      </c>
      <c r="B5" s="4" t="str">
        <f t="shared" si="2"/>
        <v>correct charge</v>
      </c>
      <c r="D5" s="19">
        <v>135.0</v>
      </c>
      <c r="E5" s="20">
        <v>135.0</v>
      </c>
      <c r="F5" s="19">
        <f t="shared" si="3"/>
        <v>0</v>
      </c>
      <c r="H5" s="19">
        <f t="shared" ref="H5:I5" si="7">Round(D5,20)</f>
        <v>135</v>
      </c>
      <c r="I5" s="20">
        <f t="shared" si="7"/>
        <v>135</v>
      </c>
      <c r="J5" s="19">
        <f t="shared" si="5"/>
        <v>0</v>
      </c>
    </row>
    <row r="6">
      <c r="A6" s="18">
        <v>-28.299999999999997</v>
      </c>
      <c r="B6" s="4" t="str">
        <f t="shared" si="2"/>
        <v>Over charged</v>
      </c>
      <c r="D6" s="19">
        <v>33.0</v>
      </c>
      <c r="E6" s="20">
        <v>61.3</v>
      </c>
      <c r="F6" s="19">
        <f t="shared" si="3"/>
        <v>-28.3</v>
      </c>
      <c r="H6" s="19">
        <f t="shared" ref="H6:I6" si="8">Round(D6,20)</f>
        <v>33</v>
      </c>
      <c r="I6" s="20">
        <f t="shared" si="8"/>
        <v>61.3</v>
      </c>
      <c r="J6" s="19">
        <f t="shared" si="5"/>
        <v>-28.3</v>
      </c>
    </row>
    <row r="7">
      <c r="A7" s="18">
        <v>-89.6</v>
      </c>
      <c r="B7" s="4" t="str">
        <f t="shared" si="2"/>
        <v>Over charged</v>
      </c>
      <c r="D7" s="19">
        <v>45.4</v>
      </c>
      <c r="E7" s="20">
        <v>135.0</v>
      </c>
      <c r="F7" s="19">
        <f t="shared" si="3"/>
        <v>-89.6</v>
      </c>
      <c r="H7" s="19">
        <f t="shared" ref="H7:I7" si="9">Round(D7,20)</f>
        <v>45.4</v>
      </c>
      <c r="I7" s="20">
        <f t="shared" si="9"/>
        <v>135</v>
      </c>
      <c r="J7" s="19">
        <f t="shared" si="5"/>
        <v>-89.6</v>
      </c>
    </row>
    <row r="8">
      <c r="A8" s="18">
        <v>-1.4210854715202004E-14</v>
      </c>
      <c r="B8" s="4" t="str">
        <f t="shared" si="2"/>
        <v>Over charged</v>
      </c>
      <c r="D8" s="19">
        <v>90.19999999999999</v>
      </c>
      <c r="E8" s="20">
        <v>90.2</v>
      </c>
      <c r="F8" s="19">
        <f t="shared" si="3"/>
        <v>0</v>
      </c>
      <c r="H8" s="19">
        <f t="shared" ref="H8:I8" si="10">Round(D8,20)</f>
        <v>90.2</v>
      </c>
      <c r="I8" s="20">
        <f t="shared" si="10"/>
        <v>90.2</v>
      </c>
      <c r="J8" s="19">
        <f t="shared" si="5"/>
        <v>0</v>
      </c>
    </row>
    <row r="9">
      <c r="A9" s="18">
        <v>-57.2</v>
      </c>
      <c r="B9" s="4" t="str">
        <f t="shared" si="2"/>
        <v>Over charged</v>
      </c>
      <c r="D9" s="19">
        <v>33.0</v>
      </c>
      <c r="E9" s="20">
        <v>90.2</v>
      </c>
      <c r="F9" s="19">
        <f t="shared" si="3"/>
        <v>-57.2</v>
      </c>
      <c r="H9" s="19">
        <f t="shared" ref="H9:I9" si="11">Round(D9,20)</f>
        <v>33</v>
      </c>
      <c r="I9" s="20">
        <f t="shared" si="11"/>
        <v>90.2</v>
      </c>
      <c r="J9" s="19">
        <f t="shared" si="5"/>
        <v>-57.2</v>
      </c>
    </row>
    <row r="10">
      <c r="A10" s="18">
        <v>-44.800000000000004</v>
      </c>
      <c r="B10" s="4" t="str">
        <f t="shared" si="2"/>
        <v>Over charged</v>
      </c>
      <c r="D10" s="19">
        <v>45.4</v>
      </c>
      <c r="E10" s="20">
        <v>90.2</v>
      </c>
      <c r="F10" s="19">
        <f t="shared" si="3"/>
        <v>-44.8</v>
      </c>
      <c r="H10" s="19">
        <f t="shared" ref="H10:I10" si="12">Round(D10,20)</f>
        <v>45.4</v>
      </c>
      <c r="I10" s="20">
        <f t="shared" si="12"/>
        <v>90.2</v>
      </c>
      <c r="J10" s="19">
        <f t="shared" si="5"/>
        <v>-44.8</v>
      </c>
    </row>
    <row r="11">
      <c r="A11" s="18">
        <v>0.0</v>
      </c>
      <c r="B11" s="4" t="str">
        <f t="shared" si="2"/>
        <v>correct charge</v>
      </c>
      <c r="D11" s="19">
        <v>224.6</v>
      </c>
      <c r="E11" s="20">
        <v>224.6</v>
      </c>
      <c r="F11" s="19">
        <f t="shared" si="3"/>
        <v>0</v>
      </c>
      <c r="H11" s="19">
        <f t="shared" ref="H11:I11" si="13">Round(D11,20)</f>
        <v>224.6</v>
      </c>
      <c r="I11" s="20">
        <f t="shared" si="13"/>
        <v>224.6</v>
      </c>
      <c r="J11" s="19">
        <f t="shared" si="5"/>
        <v>0</v>
      </c>
    </row>
    <row r="12">
      <c r="A12" s="18">
        <v>-44.800000000000004</v>
      </c>
      <c r="B12" s="4" t="str">
        <f t="shared" si="2"/>
        <v>Over charged</v>
      </c>
      <c r="D12" s="19">
        <v>45.4</v>
      </c>
      <c r="E12" s="20">
        <v>90.2</v>
      </c>
      <c r="F12" s="19">
        <f t="shared" si="3"/>
        <v>-44.8</v>
      </c>
      <c r="H12" s="19">
        <f t="shared" ref="H12:I12" si="14">Round(D12,20)</f>
        <v>45.4</v>
      </c>
      <c r="I12" s="20">
        <f t="shared" si="14"/>
        <v>90.2</v>
      </c>
      <c r="J12" s="19">
        <f t="shared" si="5"/>
        <v>-44.8</v>
      </c>
    </row>
    <row r="13">
      <c r="A13" s="18">
        <v>0.0</v>
      </c>
      <c r="B13" s="4" t="str">
        <f t="shared" si="2"/>
        <v>correct charge</v>
      </c>
      <c r="D13" s="19">
        <v>61.3</v>
      </c>
      <c r="E13" s="20">
        <v>61.3</v>
      </c>
      <c r="F13" s="19">
        <f t="shared" si="3"/>
        <v>0</v>
      </c>
      <c r="H13" s="19">
        <f t="shared" ref="H13:I13" si="15">Round(D13,20)</f>
        <v>61.3</v>
      </c>
      <c r="I13" s="20">
        <f t="shared" si="15"/>
        <v>61.3</v>
      </c>
      <c r="J13" s="19">
        <f t="shared" si="5"/>
        <v>0</v>
      </c>
    </row>
    <row r="14">
      <c r="A14" s="18">
        <v>-61.900000000000006</v>
      </c>
      <c r="B14" s="4" t="str">
        <f t="shared" si="2"/>
        <v>Over charged</v>
      </c>
      <c r="D14" s="19">
        <v>117.9</v>
      </c>
      <c r="E14" s="20">
        <v>179.8</v>
      </c>
      <c r="F14" s="19">
        <f t="shared" si="3"/>
        <v>-61.9</v>
      </c>
      <c r="H14" s="19">
        <f t="shared" ref="H14:I14" si="16">Round(D14,20)</f>
        <v>117.9</v>
      </c>
      <c r="I14" s="20">
        <f t="shared" si="16"/>
        <v>179.8</v>
      </c>
      <c r="J14" s="19">
        <f t="shared" si="5"/>
        <v>-61.9</v>
      </c>
    </row>
    <row r="15">
      <c r="A15" s="18">
        <v>-44.800000000000004</v>
      </c>
      <c r="B15" s="4" t="str">
        <f t="shared" si="2"/>
        <v>Over charged</v>
      </c>
      <c r="D15" s="19">
        <v>45.4</v>
      </c>
      <c r="E15" s="20">
        <v>90.2</v>
      </c>
      <c r="F15" s="19">
        <f t="shared" si="3"/>
        <v>-44.8</v>
      </c>
      <c r="H15" s="19">
        <f t="shared" ref="H15:I15" si="17">Round(D15,20)</f>
        <v>45.4</v>
      </c>
      <c r="I15" s="20">
        <f t="shared" si="17"/>
        <v>90.2</v>
      </c>
      <c r="J15" s="19">
        <f t="shared" si="5"/>
        <v>-44.8</v>
      </c>
    </row>
    <row r="16">
      <c r="A16" s="18">
        <v>-28.299999999999997</v>
      </c>
      <c r="B16" s="4" t="str">
        <f t="shared" si="2"/>
        <v>Over charged</v>
      </c>
      <c r="D16" s="19">
        <v>33.0</v>
      </c>
      <c r="E16" s="20">
        <v>61.3</v>
      </c>
      <c r="F16" s="19">
        <f t="shared" si="3"/>
        <v>-28.3</v>
      </c>
      <c r="H16" s="19">
        <f t="shared" ref="H16:I16" si="18">Round(D16,20)</f>
        <v>33</v>
      </c>
      <c r="I16" s="20">
        <f t="shared" si="18"/>
        <v>61.3</v>
      </c>
      <c r="J16" s="19">
        <f t="shared" si="5"/>
        <v>-28.3</v>
      </c>
    </row>
    <row r="17">
      <c r="A17" s="18">
        <v>-44.80000000000001</v>
      </c>
      <c r="B17" s="4" t="str">
        <f t="shared" si="2"/>
        <v>Over charged</v>
      </c>
      <c r="D17" s="19">
        <v>90.19999999999999</v>
      </c>
      <c r="E17" s="20">
        <v>135.0</v>
      </c>
      <c r="F17" s="19">
        <f t="shared" si="3"/>
        <v>-44.8</v>
      </c>
      <c r="H17" s="19">
        <f t="shared" ref="H17:I17" si="19">Round(D17,20)</f>
        <v>90.2</v>
      </c>
      <c r="I17" s="20">
        <f t="shared" si="19"/>
        <v>135</v>
      </c>
      <c r="J17" s="19">
        <f t="shared" si="5"/>
        <v>-44.8</v>
      </c>
    </row>
    <row r="18">
      <c r="A18" s="18">
        <v>-28.299999999999997</v>
      </c>
      <c r="B18" s="4" t="str">
        <f t="shared" si="2"/>
        <v>Over charged</v>
      </c>
      <c r="D18" s="19">
        <v>33.0</v>
      </c>
      <c r="E18" s="20">
        <v>61.3</v>
      </c>
      <c r="F18" s="19">
        <f t="shared" si="3"/>
        <v>-28.3</v>
      </c>
      <c r="H18" s="19">
        <f t="shared" ref="H18:I18" si="20">Round(D18,20)</f>
        <v>33</v>
      </c>
      <c r="I18" s="20">
        <f t="shared" si="20"/>
        <v>61.3</v>
      </c>
      <c r="J18" s="19">
        <f t="shared" si="5"/>
        <v>-28.3</v>
      </c>
    </row>
    <row r="19">
      <c r="A19" s="18">
        <v>-28.299999999999997</v>
      </c>
      <c r="B19" s="4" t="str">
        <f t="shared" si="2"/>
        <v>Over charged</v>
      </c>
      <c r="D19" s="19">
        <v>61.3</v>
      </c>
      <c r="E19" s="20">
        <v>89.6</v>
      </c>
      <c r="F19" s="19">
        <f t="shared" si="3"/>
        <v>-28.3</v>
      </c>
      <c r="H19" s="19">
        <f t="shared" ref="H19:I19" si="21">Round(D19,20)</f>
        <v>61.3</v>
      </c>
      <c r="I19" s="20">
        <f t="shared" si="21"/>
        <v>89.6</v>
      </c>
      <c r="J19" s="19">
        <f t="shared" si="5"/>
        <v>-28.3</v>
      </c>
    </row>
    <row r="20">
      <c r="A20" s="18">
        <v>-44.800000000000004</v>
      </c>
      <c r="B20" s="4" t="str">
        <f t="shared" si="2"/>
        <v>Over charged</v>
      </c>
      <c r="D20" s="19">
        <v>45.4</v>
      </c>
      <c r="E20" s="20">
        <v>90.2</v>
      </c>
      <c r="F20" s="19">
        <f t="shared" si="3"/>
        <v>-44.8</v>
      </c>
      <c r="H20" s="19">
        <f t="shared" ref="H20:I20" si="22">Round(D20,20)</f>
        <v>45.4</v>
      </c>
      <c r="I20" s="20">
        <f t="shared" si="22"/>
        <v>90.2</v>
      </c>
      <c r="J20" s="19">
        <f t="shared" si="5"/>
        <v>-44.8</v>
      </c>
    </row>
    <row r="21">
      <c r="A21" s="18">
        <v>-44.80000000000001</v>
      </c>
      <c r="B21" s="4" t="str">
        <f t="shared" si="2"/>
        <v>Over charged</v>
      </c>
      <c r="D21" s="19">
        <v>90.19999999999999</v>
      </c>
      <c r="E21" s="20">
        <v>135.0</v>
      </c>
      <c r="F21" s="19">
        <f t="shared" si="3"/>
        <v>-44.8</v>
      </c>
      <c r="H21" s="19">
        <f t="shared" ref="H21:I21" si="23">Round(D21,20)</f>
        <v>90.2</v>
      </c>
      <c r="I21" s="20">
        <f t="shared" si="23"/>
        <v>135</v>
      </c>
      <c r="J21" s="19">
        <f t="shared" si="5"/>
        <v>-44.8</v>
      </c>
    </row>
    <row r="22">
      <c r="A22" s="18">
        <v>-44.800000000000004</v>
      </c>
      <c r="B22" s="4" t="str">
        <f t="shared" si="2"/>
        <v>Over charged</v>
      </c>
      <c r="D22" s="19">
        <v>45.4</v>
      </c>
      <c r="E22" s="20">
        <v>90.2</v>
      </c>
      <c r="F22" s="19">
        <f t="shared" si="3"/>
        <v>-44.8</v>
      </c>
      <c r="H22" s="19">
        <f t="shared" ref="H22:I22" si="24">Round(D22,20)</f>
        <v>45.4</v>
      </c>
      <c r="I22" s="20">
        <f t="shared" si="24"/>
        <v>90.2</v>
      </c>
      <c r="J22" s="19">
        <f t="shared" si="5"/>
        <v>-44.8</v>
      </c>
    </row>
    <row r="23">
      <c r="A23" s="18">
        <v>-44.800000000000004</v>
      </c>
      <c r="B23" s="4" t="str">
        <f t="shared" si="2"/>
        <v>Over charged</v>
      </c>
      <c r="D23" s="19">
        <v>45.4</v>
      </c>
      <c r="E23" s="20">
        <v>90.2</v>
      </c>
      <c r="F23" s="19">
        <f t="shared" si="3"/>
        <v>-44.8</v>
      </c>
      <c r="H23" s="19">
        <f t="shared" ref="H23:I23" si="25">Round(D23,20)</f>
        <v>45.4</v>
      </c>
      <c r="I23" s="20">
        <f t="shared" si="25"/>
        <v>90.2</v>
      </c>
      <c r="J23" s="19">
        <f t="shared" si="5"/>
        <v>-44.8</v>
      </c>
    </row>
    <row r="24">
      <c r="A24" s="18">
        <v>-73.7</v>
      </c>
      <c r="B24" s="4" t="str">
        <f t="shared" si="2"/>
        <v>Over charged</v>
      </c>
      <c r="D24" s="19">
        <v>61.3</v>
      </c>
      <c r="E24" s="20">
        <v>135.0</v>
      </c>
      <c r="F24" s="19">
        <f t="shared" si="3"/>
        <v>-73.7</v>
      </c>
      <c r="H24" s="19">
        <f t="shared" ref="H24:I24" si="26">Round(D24,20)</f>
        <v>61.3</v>
      </c>
      <c r="I24" s="20">
        <f t="shared" si="26"/>
        <v>135</v>
      </c>
      <c r="J24" s="19">
        <f t="shared" si="5"/>
        <v>-73.7</v>
      </c>
    </row>
    <row r="25">
      <c r="A25" s="18">
        <v>-113.2</v>
      </c>
      <c r="B25" s="4" t="str">
        <f t="shared" si="2"/>
        <v>Over charged</v>
      </c>
      <c r="D25" s="19">
        <v>61.3</v>
      </c>
      <c r="E25" s="20">
        <v>174.5</v>
      </c>
      <c r="F25" s="19">
        <f t="shared" si="3"/>
        <v>-113.2</v>
      </c>
      <c r="H25" s="19">
        <f t="shared" ref="H25:I25" si="27">Round(D25,20)</f>
        <v>61.3</v>
      </c>
      <c r="I25" s="20">
        <f t="shared" si="27"/>
        <v>174.5</v>
      </c>
      <c r="J25" s="19">
        <f t="shared" si="5"/>
        <v>-113.2</v>
      </c>
    </row>
    <row r="26">
      <c r="A26" s="18">
        <v>-56.599999999999994</v>
      </c>
      <c r="B26" s="4" t="str">
        <f t="shared" si="2"/>
        <v>Over charged</v>
      </c>
      <c r="D26" s="19">
        <v>33.0</v>
      </c>
      <c r="E26" s="20">
        <v>89.6</v>
      </c>
      <c r="F26" s="19">
        <f t="shared" si="3"/>
        <v>-56.6</v>
      </c>
      <c r="H26" s="19">
        <f t="shared" ref="H26:I26" si="28">Round(D26,20)</f>
        <v>33</v>
      </c>
      <c r="I26" s="20">
        <f t="shared" si="28"/>
        <v>89.6</v>
      </c>
      <c r="J26" s="19">
        <f t="shared" si="5"/>
        <v>-56.6</v>
      </c>
    </row>
    <row r="27">
      <c r="A27" s="18">
        <v>-57.2</v>
      </c>
      <c r="B27" s="4" t="str">
        <f t="shared" si="2"/>
        <v>Over charged</v>
      </c>
      <c r="D27" s="19">
        <v>33.0</v>
      </c>
      <c r="E27" s="20">
        <v>90.2</v>
      </c>
      <c r="F27" s="19">
        <f t="shared" si="3"/>
        <v>-57.2</v>
      </c>
      <c r="H27" s="19">
        <f t="shared" ref="H27:I27" si="29">Round(D27,20)</f>
        <v>33</v>
      </c>
      <c r="I27" s="20">
        <f t="shared" si="29"/>
        <v>90.2</v>
      </c>
      <c r="J27" s="19">
        <f t="shared" si="5"/>
        <v>-57.2</v>
      </c>
    </row>
    <row r="28">
      <c r="A28" s="18">
        <v>-57.2</v>
      </c>
      <c r="B28" s="4" t="str">
        <f t="shared" si="2"/>
        <v>Over charged</v>
      </c>
      <c r="D28" s="19">
        <v>33.0</v>
      </c>
      <c r="E28" s="20">
        <v>90.2</v>
      </c>
      <c r="F28" s="19">
        <f t="shared" si="3"/>
        <v>-57.2</v>
      </c>
      <c r="H28" s="19">
        <f t="shared" ref="H28:I28" si="30">Round(D28,20)</f>
        <v>33</v>
      </c>
      <c r="I28" s="20">
        <f t="shared" si="30"/>
        <v>90.2</v>
      </c>
      <c r="J28" s="19">
        <f t="shared" si="5"/>
        <v>-57.2</v>
      </c>
    </row>
    <row r="29">
      <c r="A29" s="18">
        <v>-57.2</v>
      </c>
      <c r="B29" s="4" t="str">
        <f t="shared" si="2"/>
        <v>Over charged</v>
      </c>
      <c r="D29" s="19">
        <v>33.0</v>
      </c>
      <c r="E29" s="20">
        <v>90.2</v>
      </c>
      <c r="F29" s="19">
        <f t="shared" si="3"/>
        <v>-57.2</v>
      </c>
      <c r="H29" s="19">
        <f t="shared" ref="H29:I29" si="31">Round(D29,20)</f>
        <v>33</v>
      </c>
      <c r="I29" s="20">
        <f t="shared" si="31"/>
        <v>90.2</v>
      </c>
      <c r="J29" s="19">
        <f t="shared" si="5"/>
        <v>-57.2</v>
      </c>
    </row>
    <row r="30">
      <c r="A30" s="18">
        <v>-44.800000000000004</v>
      </c>
      <c r="B30" s="4" t="str">
        <f t="shared" si="2"/>
        <v>Over charged</v>
      </c>
      <c r="D30" s="19">
        <v>45.4</v>
      </c>
      <c r="E30" s="20">
        <v>90.2</v>
      </c>
      <c r="F30" s="19">
        <f t="shared" si="3"/>
        <v>-44.8</v>
      </c>
      <c r="H30" s="19">
        <f t="shared" ref="H30:I30" si="32">Round(D30,20)</f>
        <v>45.4</v>
      </c>
      <c r="I30" s="20">
        <f t="shared" si="32"/>
        <v>90.2</v>
      </c>
      <c r="J30" s="19">
        <f t="shared" si="5"/>
        <v>-44.8</v>
      </c>
    </row>
    <row r="31">
      <c r="A31" s="18">
        <v>0.0</v>
      </c>
      <c r="B31" s="4" t="str">
        <f t="shared" si="2"/>
        <v>correct charge</v>
      </c>
      <c r="D31" s="19">
        <v>45.4</v>
      </c>
      <c r="E31" s="20">
        <v>45.4</v>
      </c>
      <c r="F31" s="19">
        <f t="shared" si="3"/>
        <v>0</v>
      </c>
      <c r="H31" s="19">
        <f t="shared" ref="H31:I31" si="33">Round(D31,20)</f>
        <v>45.4</v>
      </c>
      <c r="I31" s="20">
        <f t="shared" si="33"/>
        <v>45.4</v>
      </c>
      <c r="J31" s="19">
        <f t="shared" si="5"/>
        <v>0</v>
      </c>
    </row>
    <row r="32">
      <c r="A32" s="18">
        <v>0.0</v>
      </c>
      <c r="B32" s="4" t="str">
        <f t="shared" si="2"/>
        <v>correct charge</v>
      </c>
      <c r="D32" s="19">
        <v>45.4</v>
      </c>
      <c r="E32" s="20">
        <v>45.4</v>
      </c>
      <c r="F32" s="19">
        <f t="shared" si="3"/>
        <v>0</v>
      </c>
      <c r="H32" s="19">
        <f t="shared" ref="H32:I32" si="34">Round(D32,20)</f>
        <v>45.4</v>
      </c>
      <c r="I32" s="20">
        <f t="shared" si="34"/>
        <v>45.4</v>
      </c>
      <c r="J32" s="19">
        <f t="shared" si="5"/>
        <v>0</v>
      </c>
    </row>
    <row r="33">
      <c r="A33" s="18">
        <v>0.0</v>
      </c>
      <c r="B33" s="4" t="str">
        <f t="shared" si="2"/>
        <v>correct charge</v>
      </c>
      <c r="D33" s="19">
        <v>61.3</v>
      </c>
      <c r="E33" s="20">
        <v>61.3</v>
      </c>
      <c r="F33" s="19">
        <f t="shared" si="3"/>
        <v>0</v>
      </c>
      <c r="H33" s="19">
        <f t="shared" ref="H33:I33" si="35">Round(D33,20)</f>
        <v>61.3</v>
      </c>
      <c r="I33" s="20">
        <f t="shared" si="35"/>
        <v>61.3</v>
      </c>
      <c r="J33" s="19">
        <f t="shared" si="5"/>
        <v>0</v>
      </c>
    </row>
    <row r="34">
      <c r="A34" s="18">
        <v>-44.80000000000001</v>
      </c>
      <c r="B34" s="4" t="str">
        <f t="shared" si="2"/>
        <v>Over charged</v>
      </c>
      <c r="D34" s="19">
        <v>135.0</v>
      </c>
      <c r="E34" s="20">
        <v>179.8</v>
      </c>
      <c r="F34" s="19">
        <f t="shared" si="3"/>
        <v>-44.8</v>
      </c>
      <c r="H34" s="19">
        <f t="shared" ref="H34:I34" si="36">Round(D34,20)</f>
        <v>135</v>
      </c>
      <c r="I34" s="20">
        <f t="shared" si="36"/>
        <v>179.8</v>
      </c>
      <c r="J34" s="19">
        <f t="shared" si="5"/>
        <v>-44.8</v>
      </c>
    </row>
    <row r="35">
      <c r="A35" s="18">
        <v>0.0</v>
      </c>
      <c r="B35" s="4" t="str">
        <f t="shared" si="2"/>
        <v>correct charge</v>
      </c>
      <c r="D35" s="19">
        <v>89.6</v>
      </c>
      <c r="E35" s="20">
        <v>89.6</v>
      </c>
      <c r="F35" s="19">
        <f t="shared" si="3"/>
        <v>0</v>
      </c>
      <c r="H35" s="19">
        <f t="shared" ref="H35:I35" si="37">Round(D35,20)</f>
        <v>89.6</v>
      </c>
      <c r="I35" s="20">
        <f t="shared" si="37"/>
        <v>89.6</v>
      </c>
      <c r="J35" s="19">
        <f t="shared" si="5"/>
        <v>0</v>
      </c>
    </row>
    <row r="36">
      <c r="A36" s="18">
        <v>-44.800000000000004</v>
      </c>
      <c r="B36" s="4" t="str">
        <f t="shared" si="2"/>
        <v>Over charged</v>
      </c>
      <c r="D36" s="19">
        <v>45.4</v>
      </c>
      <c r="E36" s="20">
        <v>90.2</v>
      </c>
      <c r="F36" s="19">
        <f t="shared" si="3"/>
        <v>-44.8</v>
      </c>
      <c r="H36" s="19">
        <f t="shared" ref="H36:I36" si="38">Round(D36,20)</f>
        <v>45.4</v>
      </c>
      <c r="I36" s="20">
        <f t="shared" si="38"/>
        <v>90.2</v>
      </c>
      <c r="J36" s="19">
        <f t="shared" si="5"/>
        <v>-44.8</v>
      </c>
    </row>
    <row r="37">
      <c r="A37" s="18">
        <v>0.0</v>
      </c>
      <c r="B37" s="4" t="str">
        <f t="shared" si="2"/>
        <v>correct charge</v>
      </c>
      <c r="D37" s="19">
        <v>45.4</v>
      </c>
      <c r="E37" s="20">
        <v>45.4</v>
      </c>
      <c r="F37" s="19">
        <f t="shared" si="3"/>
        <v>0</v>
      </c>
      <c r="H37" s="19">
        <f t="shared" ref="H37:I37" si="39">Round(D37,20)</f>
        <v>45.4</v>
      </c>
      <c r="I37" s="20">
        <f t="shared" si="39"/>
        <v>45.4</v>
      </c>
      <c r="J37" s="19">
        <f t="shared" si="5"/>
        <v>0</v>
      </c>
    </row>
    <row r="38">
      <c r="A38" s="18">
        <v>-28.900000000000006</v>
      </c>
      <c r="B38" s="4" t="str">
        <f t="shared" si="2"/>
        <v>Over charged</v>
      </c>
      <c r="D38" s="19">
        <v>61.3</v>
      </c>
      <c r="E38" s="20">
        <v>90.2</v>
      </c>
      <c r="F38" s="19">
        <f t="shared" si="3"/>
        <v>-28.9</v>
      </c>
      <c r="H38" s="19">
        <f t="shared" ref="H38:I38" si="40">Round(D38,20)</f>
        <v>61.3</v>
      </c>
      <c r="I38" s="20">
        <f t="shared" si="40"/>
        <v>90.2</v>
      </c>
      <c r="J38" s="19">
        <f t="shared" si="5"/>
        <v>-28.9</v>
      </c>
    </row>
    <row r="39">
      <c r="A39" s="18">
        <v>0.0</v>
      </c>
      <c r="B39" s="4" t="str">
        <f t="shared" si="2"/>
        <v>correct charge</v>
      </c>
      <c r="D39" s="19">
        <v>45.4</v>
      </c>
      <c r="E39" s="20">
        <v>45.4</v>
      </c>
      <c r="F39" s="19">
        <f t="shared" si="3"/>
        <v>0</v>
      </c>
      <c r="H39" s="19">
        <f t="shared" ref="H39:I39" si="41">Round(D39,20)</f>
        <v>45.4</v>
      </c>
      <c r="I39" s="20">
        <f t="shared" si="41"/>
        <v>45.4</v>
      </c>
      <c r="J39" s="19">
        <f t="shared" si="5"/>
        <v>0</v>
      </c>
    </row>
    <row r="40">
      <c r="A40" s="18">
        <v>-191.6</v>
      </c>
      <c r="B40" s="4" t="str">
        <f t="shared" si="2"/>
        <v>Over charged</v>
      </c>
      <c r="D40" s="19">
        <v>33.0</v>
      </c>
      <c r="E40" s="20">
        <v>224.6</v>
      </c>
      <c r="F40" s="19">
        <f t="shared" si="3"/>
        <v>-191.6</v>
      </c>
      <c r="H40" s="19">
        <f t="shared" ref="H40:I40" si="42">Round(D40,20)</f>
        <v>33</v>
      </c>
      <c r="I40" s="20">
        <f t="shared" si="42"/>
        <v>224.6</v>
      </c>
      <c r="J40" s="19">
        <f t="shared" si="5"/>
        <v>-191.6</v>
      </c>
    </row>
    <row r="41">
      <c r="A41" s="18">
        <v>44.79999999999998</v>
      </c>
      <c r="B41" s="4" t="str">
        <f t="shared" si="2"/>
        <v>Under charged</v>
      </c>
      <c r="D41" s="19">
        <v>224.6</v>
      </c>
      <c r="E41" s="20">
        <v>179.8</v>
      </c>
      <c r="F41" s="19">
        <f t="shared" si="3"/>
        <v>44.8</v>
      </c>
      <c r="H41" s="19">
        <f t="shared" ref="H41:I41" si="43">Round(D41,20)</f>
        <v>224.6</v>
      </c>
      <c r="I41" s="20">
        <f t="shared" si="43"/>
        <v>179.8</v>
      </c>
      <c r="J41" s="19">
        <f t="shared" si="5"/>
        <v>44.8</v>
      </c>
    </row>
    <row r="42">
      <c r="A42" s="18">
        <v>28.299999999999997</v>
      </c>
      <c r="B42" s="4" t="str">
        <f t="shared" si="2"/>
        <v>Under charged</v>
      </c>
      <c r="D42" s="19">
        <v>89.6</v>
      </c>
      <c r="E42" s="20">
        <v>61.3</v>
      </c>
      <c r="F42" s="19">
        <f t="shared" si="3"/>
        <v>28.3</v>
      </c>
      <c r="H42" s="19">
        <f t="shared" ref="H42:I42" si="44">Round(D42,20)</f>
        <v>89.6</v>
      </c>
      <c r="I42" s="20">
        <f t="shared" si="44"/>
        <v>61.3</v>
      </c>
      <c r="J42" s="19">
        <f t="shared" si="5"/>
        <v>28.3</v>
      </c>
    </row>
    <row r="43">
      <c r="A43" s="18">
        <v>-57.2</v>
      </c>
      <c r="B43" s="4" t="str">
        <f t="shared" si="2"/>
        <v>Over charged</v>
      </c>
      <c r="D43" s="19">
        <v>33.0</v>
      </c>
      <c r="E43" s="20">
        <v>90.2</v>
      </c>
      <c r="F43" s="19">
        <f t="shared" si="3"/>
        <v>-57.2</v>
      </c>
      <c r="H43" s="19">
        <f t="shared" ref="H43:I43" si="45">Round(D43,20)</f>
        <v>33</v>
      </c>
      <c r="I43" s="20">
        <f t="shared" si="45"/>
        <v>90.2</v>
      </c>
      <c r="J43" s="19">
        <f t="shared" si="5"/>
        <v>-57.2</v>
      </c>
    </row>
    <row r="44">
      <c r="A44" s="18">
        <v>0.0</v>
      </c>
      <c r="B44" s="4" t="str">
        <f t="shared" si="2"/>
        <v>correct charge</v>
      </c>
      <c r="D44" s="19">
        <v>61.3</v>
      </c>
      <c r="E44" s="20">
        <v>61.3</v>
      </c>
      <c r="F44" s="19">
        <f t="shared" si="3"/>
        <v>0</v>
      </c>
      <c r="H44" s="19">
        <f t="shared" ref="H44:I44" si="46">Round(D44,20)</f>
        <v>61.3</v>
      </c>
      <c r="I44" s="20">
        <f t="shared" si="46"/>
        <v>61.3</v>
      </c>
      <c r="J44" s="19">
        <f t="shared" si="5"/>
        <v>0</v>
      </c>
    </row>
    <row r="45">
      <c r="A45" s="18">
        <v>-57.2</v>
      </c>
      <c r="B45" s="4" t="str">
        <f t="shared" si="2"/>
        <v>Over charged</v>
      </c>
      <c r="D45" s="19">
        <v>33.0</v>
      </c>
      <c r="E45" s="20">
        <v>90.2</v>
      </c>
      <c r="F45" s="19">
        <f t="shared" si="3"/>
        <v>-57.2</v>
      </c>
      <c r="H45" s="19">
        <f t="shared" ref="H45:I45" si="47">Round(D45,20)</f>
        <v>33</v>
      </c>
      <c r="I45" s="20">
        <f t="shared" si="47"/>
        <v>90.2</v>
      </c>
      <c r="J45" s="19">
        <f t="shared" si="5"/>
        <v>-57.2</v>
      </c>
    </row>
    <row r="46">
      <c r="A46" s="18">
        <v>-1.4210854715202004E-14</v>
      </c>
      <c r="B46" s="4" t="str">
        <f t="shared" si="2"/>
        <v>Over charged</v>
      </c>
      <c r="D46" s="19">
        <v>90.19999999999999</v>
      </c>
      <c r="E46" s="20">
        <v>90.2</v>
      </c>
      <c r="F46" s="19">
        <f t="shared" si="3"/>
        <v>0</v>
      </c>
      <c r="H46" s="19">
        <f t="shared" ref="H46:I46" si="48">Round(D46,20)</f>
        <v>90.2</v>
      </c>
      <c r="I46" s="20">
        <f t="shared" si="48"/>
        <v>90.2</v>
      </c>
      <c r="J46" s="19">
        <f t="shared" si="5"/>
        <v>0</v>
      </c>
    </row>
    <row r="47">
      <c r="A47" s="18">
        <v>0.0</v>
      </c>
      <c r="B47" s="4" t="str">
        <f t="shared" si="2"/>
        <v>correct charge</v>
      </c>
      <c r="D47" s="19">
        <v>89.6</v>
      </c>
      <c r="E47" s="20">
        <v>89.6</v>
      </c>
      <c r="F47" s="19">
        <f t="shared" si="3"/>
        <v>0</v>
      </c>
      <c r="H47" s="19">
        <f t="shared" ref="H47:I47" si="49">Round(D47,20)</f>
        <v>89.6</v>
      </c>
      <c r="I47" s="20">
        <f t="shared" si="49"/>
        <v>89.6</v>
      </c>
      <c r="J47" s="19">
        <f t="shared" si="5"/>
        <v>0</v>
      </c>
    </row>
    <row r="48">
      <c r="A48" s="18">
        <v>-1.4210854715202004E-14</v>
      </c>
      <c r="B48" s="4" t="str">
        <f t="shared" si="2"/>
        <v>Over charged</v>
      </c>
      <c r="D48" s="19">
        <v>90.19999999999999</v>
      </c>
      <c r="E48" s="20">
        <v>90.2</v>
      </c>
      <c r="F48" s="19">
        <f t="shared" si="3"/>
        <v>0</v>
      </c>
      <c r="H48" s="19">
        <f t="shared" ref="H48:I48" si="50">Round(D48,20)</f>
        <v>90.2</v>
      </c>
      <c r="I48" s="20">
        <f t="shared" si="50"/>
        <v>90.2</v>
      </c>
      <c r="J48" s="19">
        <f t="shared" si="5"/>
        <v>0</v>
      </c>
    </row>
    <row r="49">
      <c r="A49" s="18">
        <v>-342.5</v>
      </c>
      <c r="B49" s="4" t="str">
        <f t="shared" si="2"/>
        <v>Over charged</v>
      </c>
      <c r="D49" s="19">
        <v>61.3</v>
      </c>
      <c r="E49" s="20">
        <v>403.8</v>
      </c>
      <c r="F49" s="19">
        <f t="shared" si="3"/>
        <v>-342.5</v>
      </c>
      <c r="H49" s="19">
        <f t="shared" ref="H49:I49" si="51">Round(D49,20)</f>
        <v>61.3</v>
      </c>
      <c r="I49" s="20">
        <f t="shared" si="51"/>
        <v>403.8</v>
      </c>
      <c r="J49" s="19">
        <f t="shared" si="5"/>
        <v>-342.5</v>
      </c>
    </row>
    <row r="50">
      <c r="A50" s="18">
        <v>3.4999999999999716</v>
      </c>
      <c r="B50" s="4" t="str">
        <f t="shared" si="2"/>
        <v>Under charged</v>
      </c>
      <c r="D50" s="19">
        <v>176.29999999999998</v>
      </c>
      <c r="E50" s="20">
        <v>172.8</v>
      </c>
      <c r="F50" s="19">
        <f t="shared" si="3"/>
        <v>3.5</v>
      </c>
      <c r="H50" s="19">
        <f t="shared" ref="H50:I50" si="52">Round(D50,20)</f>
        <v>176.3</v>
      </c>
      <c r="I50" s="20">
        <f t="shared" si="52"/>
        <v>172.8</v>
      </c>
      <c r="J50" s="19">
        <f t="shared" si="5"/>
        <v>3.5</v>
      </c>
    </row>
    <row r="51">
      <c r="A51" s="18">
        <v>-12.399999999999999</v>
      </c>
      <c r="B51" s="4" t="str">
        <f t="shared" si="2"/>
        <v>Over charged</v>
      </c>
      <c r="D51" s="19">
        <v>33.0</v>
      </c>
      <c r="E51" s="20">
        <v>45.4</v>
      </c>
      <c r="F51" s="19">
        <f t="shared" si="3"/>
        <v>-12.4</v>
      </c>
      <c r="H51" s="19">
        <f t="shared" ref="H51:I51" si="53">Round(D51,20)</f>
        <v>33</v>
      </c>
      <c r="I51" s="20">
        <f t="shared" si="53"/>
        <v>45.4</v>
      </c>
      <c r="J51" s="19">
        <f t="shared" si="5"/>
        <v>-12.4</v>
      </c>
    </row>
    <row r="52">
      <c r="A52" s="18">
        <v>0.0</v>
      </c>
      <c r="B52" s="4" t="str">
        <f t="shared" si="2"/>
        <v>correct charge</v>
      </c>
      <c r="D52" s="19">
        <v>45.4</v>
      </c>
      <c r="E52" s="20">
        <v>45.4</v>
      </c>
      <c r="F52" s="19">
        <f t="shared" si="3"/>
        <v>0</v>
      </c>
      <c r="H52" s="19">
        <f t="shared" ref="H52:I52" si="54">Round(D52,20)</f>
        <v>45.4</v>
      </c>
      <c r="I52" s="20">
        <f t="shared" si="54"/>
        <v>45.4</v>
      </c>
      <c r="J52" s="19">
        <f t="shared" si="5"/>
        <v>0</v>
      </c>
    </row>
    <row r="53">
      <c r="A53" s="18">
        <v>-57.2</v>
      </c>
      <c r="B53" s="4" t="str">
        <f t="shared" si="2"/>
        <v>Over charged</v>
      </c>
      <c r="D53" s="19">
        <v>33.0</v>
      </c>
      <c r="E53" s="20">
        <v>90.2</v>
      </c>
      <c r="F53" s="19">
        <f t="shared" si="3"/>
        <v>-57.2</v>
      </c>
      <c r="H53" s="19">
        <f t="shared" ref="H53:I53" si="55">Round(D53,20)</f>
        <v>33</v>
      </c>
      <c r="I53" s="20">
        <f t="shared" si="55"/>
        <v>90.2</v>
      </c>
      <c r="J53" s="19">
        <f t="shared" si="5"/>
        <v>-57.2</v>
      </c>
    </row>
    <row r="54">
      <c r="A54" s="18">
        <v>-73.7</v>
      </c>
      <c r="B54" s="4" t="str">
        <f t="shared" si="2"/>
        <v>Over charged</v>
      </c>
      <c r="D54" s="19">
        <v>61.3</v>
      </c>
      <c r="E54" s="20">
        <v>135.0</v>
      </c>
      <c r="F54" s="19">
        <f t="shared" si="3"/>
        <v>-73.7</v>
      </c>
      <c r="H54" s="19">
        <f t="shared" ref="H54:I54" si="56">Round(D54,20)</f>
        <v>61.3</v>
      </c>
      <c r="I54" s="20">
        <f t="shared" si="56"/>
        <v>135</v>
      </c>
      <c r="J54" s="19">
        <f t="shared" si="5"/>
        <v>-73.7</v>
      </c>
    </row>
    <row r="55">
      <c r="A55" s="18">
        <v>0.0</v>
      </c>
      <c r="B55" s="4" t="str">
        <f t="shared" si="2"/>
        <v>correct charge</v>
      </c>
      <c r="D55" s="19">
        <v>135.0</v>
      </c>
      <c r="E55" s="20">
        <v>135.0</v>
      </c>
      <c r="F55" s="19">
        <f t="shared" si="3"/>
        <v>0</v>
      </c>
      <c r="H55" s="19">
        <f t="shared" ref="H55:I55" si="57">Round(D55,20)</f>
        <v>135</v>
      </c>
      <c r="I55" s="20">
        <f t="shared" si="57"/>
        <v>135</v>
      </c>
      <c r="J55" s="19">
        <f t="shared" si="5"/>
        <v>0</v>
      </c>
    </row>
    <row r="56">
      <c r="A56" s="18">
        <v>0.0</v>
      </c>
      <c r="B56" s="4" t="str">
        <f t="shared" si="2"/>
        <v>correct charge</v>
      </c>
      <c r="D56" s="19">
        <v>33.0</v>
      </c>
      <c r="E56" s="20">
        <v>33.0</v>
      </c>
      <c r="F56" s="19">
        <f t="shared" si="3"/>
        <v>0</v>
      </c>
      <c r="H56" s="19">
        <f t="shared" ref="H56:I56" si="58">Round(D56,20)</f>
        <v>33</v>
      </c>
      <c r="I56" s="20">
        <f t="shared" si="58"/>
        <v>33</v>
      </c>
      <c r="J56" s="19">
        <f t="shared" si="5"/>
        <v>0</v>
      </c>
    </row>
    <row r="57">
      <c r="A57" s="18">
        <v>-1.4210854715202004E-14</v>
      </c>
      <c r="B57" s="4" t="str">
        <f t="shared" si="2"/>
        <v>Over charged</v>
      </c>
      <c r="D57" s="19">
        <v>90.19999999999999</v>
      </c>
      <c r="E57" s="20">
        <v>90.2</v>
      </c>
      <c r="F57" s="19">
        <f t="shared" si="3"/>
        <v>0</v>
      </c>
      <c r="H57" s="19">
        <f t="shared" ref="H57:I57" si="59">Round(D57,20)</f>
        <v>90.2</v>
      </c>
      <c r="I57" s="20">
        <f t="shared" si="59"/>
        <v>90.2</v>
      </c>
      <c r="J57" s="19">
        <f t="shared" si="5"/>
        <v>0</v>
      </c>
    </row>
    <row r="58">
      <c r="A58" s="18">
        <v>-28.900000000000006</v>
      </c>
      <c r="B58" s="4" t="str">
        <f t="shared" si="2"/>
        <v>Over charged</v>
      </c>
      <c r="D58" s="19">
        <v>61.3</v>
      </c>
      <c r="E58" s="20">
        <v>90.2</v>
      </c>
      <c r="F58" s="19">
        <f t="shared" si="3"/>
        <v>-28.9</v>
      </c>
      <c r="H58" s="19">
        <f t="shared" ref="H58:I58" si="60">Round(D58,20)</f>
        <v>61.3</v>
      </c>
      <c r="I58" s="20">
        <f t="shared" si="60"/>
        <v>90.2</v>
      </c>
      <c r="J58" s="19">
        <f t="shared" si="5"/>
        <v>-28.9</v>
      </c>
    </row>
    <row r="59">
      <c r="A59" s="18">
        <v>1.4210854715202004E-14</v>
      </c>
      <c r="B59" s="4" t="str">
        <f t="shared" si="2"/>
        <v>Under charged</v>
      </c>
      <c r="D59" s="19">
        <v>107.30000000000001</v>
      </c>
      <c r="E59" s="20">
        <v>107.3</v>
      </c>
      <c r="F59" s="19">
        <f t="shared" si="3"/>
        <v>0</v>
      </c>
      <c r="H59" s="19">
        <f t="shared" ref="H59:I59" si="61">Round(D59,20)</f>
        <v>107.3</v>
      </c>
      <c r="I59" s="20">
        <f t="shared" si="61"/>
        <v>107.3</v>
      </c>
      <c r="J59" s="19">
        <f t="shared" si="5"/>
        <v>0</v>
      </c>
    </row>
    <row r="60">
      <c r="A60" s="18">
        <v>-57.2</v>
      </c>
      <c r="B60" s="4" t="str">
        <f t="shared" si="2"/>
        <v>Over charged</v>
      </c>
      <c r="D60" s="19">
        <v>33.0</v>
      </c>
      <c r="E60" s="20">
        <v>90.2</v>
      </c>
      <c r="F60" s="19">
        <f t="shared" si="3"/>
        <v>-57.2</v>
      </c>
      <c r="H60" s="19">
        <f t="shared" ref="H60:I60" si="62">Round(D60,20)</f>
        <v>33</v>
      </c>
      <c r="I60" s="20">
        <f t="shared" si="62"/>
        <v>90.2</v>
      </c>
      <c r="J60" s="19">
        <f t="shared" si="5"/>
        <v>-57.2</v>
      </c>
    </row>
    <row r="61">
      <c r="A61" s="18">
        <v>0.0</v>
      </c>
      <c r="B61" s="4" t="str">
        <f t="shared" si="2"/>
        <v>correct charge</v>
      </c>
      <c r="D61" s="19">
        <v>61.3</v>
      </c>
      <c r="E61" s="20">
        <v>61.3</v>
      </c>
      <c r="F61" s="19">
        <f t="shared" si="3"/>
        <v>0</v>
      </c>
      <c r="H61" s="19">
        <f t="shared" ref="H61:I61" si="63">Round(D61,20)</f>
        <v>61.3</v>
      </c>
      <c r="I61" s="20">
        <f t="shared" si="63"/>
        <v>61.3</v>
      </c>
      <c r="J61" s="19">
        <f t="shared" si="5"/>
        <v>0</v>
      </c>
    </row>
    <row r="62">
      <c r="A62" s="18">
        <v>-1.4210854715202004E-14</v>
      </c>
      <c r="B62" s="4" t="str">
        <f t="shared" si="2"/>
        <v>Over charged</v>
      </c>
      <c r="D62" s="19">
        <v>90.19999999999999</v>
      </c>
      <c r="E62" s="20">
        <v>90.2</v>
      </c>
      <c r="F62" s="19">
        <f t="shared" si="3"/>
        <v>0</v>
      </c>
      <c r="H62" s="19">
        <f t="shared" ref="H62:I62" si="64">Round(D62,20)</f>
        <v>90.2</v>
      </c>
      <c r="I62" s="20">
        <f t="shared" si="64"/>
        <v>90.2</v>
      </c>
      <c r="J62" s="19">
        <f t="shared" si="5"/>
        <v>0</v>
      </c>
    </row>
    <row r="63">
      <c r="A63" s="18">
        <v>-4.699999999999996</v>
      </c>
      <c r="B63" s="4" t="str">
        <f t="shared" si="2"/>
        <v>Over charged</v>
      </c>
      <c r="D63" s="19">
        <v>56.6</v>
      </c>
      <c r="E63" s="20">
        <v>61.3</v>
      </c>
      <c r="F63" s="19">
        <f t="shared" si="3"/>
        <v>-4.7</v>
      </c>
      <c r="H63" s="19">
        <f t="shared" ref="H63:I63" si="65">Round(D63,20)</f>
        <v>56.6</v>
      </c>
      <c r="I63" s="20">
        <f t="shared" si="65"/>
        <v>61.3</v>
      </c>
      <c r="J63" s="19">
        <f t="shared" si="5"/>
        <v>-4.7</v>
      </c>
    </row>
    <row r="64">
      <c r="A64" s="18">
        <v>-57.2</v>
      </c>
      <c r="B64" s="4" t="str">
        <f t="shared" si="2"/>
        <v>Over charged</v>
      </c>
      <c r="D64" s="19">
        <v>33.0</v>
      </c>
      <c r="E64" s="20">
        <v>90.2</v>
      </c>
      <c r="F64" s="19">
        <f t="shared" si="3"/>
        <v>-57.2</v>
      </c>
      <c r="H64" s="19">
        <f t="shared" ref="H64:I64" si="66">Round(D64,20)</f>
        <v>33</v>
      </c>
      <c r="I64" s="20">
        <f t="shared" si="66"/>
        <v>90.2</v>
      </c>
      <c r="J64" s="19">
        <f t="shared" si="5"/>
        <v>-57.2</v>
      </c>
    </row>
    <row r="65">
      <c r="A65" s="18">
        <v>0.0</v>
      </c>
      <c r="B65" s="4" t="str">
        <f t="shared" si="2"/>
        <v>correct charge</v>
      </c>
      <c r="D65" s="19">
        <v>89.6</v>
      </c>
      <c r="E65" s="20">
        <v>89.6</v>
      </c>
      <c r="F65" s="19">
        <f t="shared" si="3"/>
        <v>0</v>
      </c>
      <c r="H65" s="19">
        <f t="shared" ref="H65:I65" si="67">Round(D65,20)</f>
        <v>89.6</v>
      </c>
      <c r="I65" s="20">
        <f t="shared" si="67"/>
        <v>89.6</v>
      </c>
      <c r="J65" s="19">
        <f t="shared" si="5"/>
        <v>0</v>
      </c>
    </row>
    <row r="66">
      <c r="A66" s="18">
        <v>-146.8</v>
      </c>
      <c r="B66" s="4" t="str">
        <f t="shared" si="2"/>
        <v>Over charged</v>
      </c>
      <c r="D66" s="19">
        <v>33.0</v>
      </c>
      <c r="E66" s="20">
        <v>179.8</v>
      </c>
      <c r="F66" s="19">
        <f t="shared" si="3"/>
        <v>-146.8</v>
      </c>
      <c r="H66" s="19">
        <f t="shared" ref="H66:I66" si="68">Round(D66,20)</f>
        <v>33</v>
      </c>
      <c r="I66" s="20">
        <f t="shared" si="68"/>
        <v>179.8</v>
      </c>
      <c r="J66" s="19">
        <f t="shared" si="5"/>
        <v>-146.8</v>
      </c>
    </row>
    <row r="67">
      <c r="A67" s="18">
        <v>-28.900000000000006</v>
      </c>
      <c r="B67" s="4" t="str">
        <f t="shared" si="2"/>
        <v>Over charged</v>
      </c>
      <c r="D67" s="19">
        <v>61.3</v>
      </c>
      <c r="E67" s="20">
        <v>90.2</v>
      </c>
      <c r="F67" s="19">
        <f t="shared" si="3"/>
        <v>-28.9</v>
      </c>
      <c r="H67" s="19">
        <f t="shared" ref="H67:I67" si="69">Round(D67,20)</f>
        <v>61.3</v>
      </c>
      <c r="I67" s="20">
        <f t="shared" si="69"/>
        <v>90.2</v>
      </c>
      <c r="J67" s="19">
        <f t="shared" si="5"/>
        <v>-28.9</v>
      </c>
    </row>
    <row r="68">
      <c r="A68" s="18">
        <v>-163.3</v>
      </c>
      <c r="B68" s="4" t="str">
        <f t="shared" si="2"/>
        <v>Over charged</v>
      </c>
      <c r="D68" s="19">
        <v>61.3</v>
      </c>
      <c r="E68" s="20">
        <v>224.6</v>
      </c>
      <c r="F68" s="19">
        <f t="shared" si="3"/>
        <v>-163.3</v>
      </c>
      <c r="H68" s="19">
        <f t="shared" ref="H68:I68" si="70">Round(D68,20)</f>
        <v>61.3</v>
      </c>
      <c r="I68" s="20">
        <f t="shared" si="70"/>
        <v>224.6</v>
      </c>
      <c r="J68" s="19">
        <f t="shared" si="5"/>
        <v>-163.3</v>
      </c>
    </row>
    <row r="69">
      <c r="A69" s="18">
        <v>-57.2</v>
      </c>
      <c r="B69" s="4" t="str">
        <f t="shared" si="2"/>
        <v>Over charged</v>
      </c>
      <c r="D69" s="19">
        <v>33.0</v>
      </c>
      <c r="E69" s="20">
        <v>90.2</v>
      </c>
      <c r="F69" s="19">
        <f t="shared" si="3"/>
        <v>-57.2</v>
      </c>
      <c r="H69" s="19">
        <f t="shared" ref="H69:I69" si="71">Round(D69,20)</f>
        <v>33</v>
      </c>
      <c r="I69" s="20">
        <f t="shared" si="71"/>
        <v>90.2</v>
      </c>
      <c r="J69" s="19">
        <f t="shared" si="5"/>
        <v>-57.2</v>
      </c>
    </row>
    <row r="70">
      <c r="A70" s="18">
        <v>-57.2</v>
      </c>
      <c r="B70" s="4" t="str">
        <f t="shared" si="2"/>
        <v>Over charged</v>
      </c>
      <c r="D70" s="19">
        <v>33.0</v>
      </c>
      <c r="E70" s="20">
        <v>90.2</v>
      </c>
      <c r="F70" s="19">
        <f t="shared" si="3"/>
        <v>-57.2</v>
      </c>
      <c r="H70" s="19">
        <f t="shared" ref="H70:I70" si="72">Round(D70,20)</f>
        <v>33</v>
      </c>
      <c r="I70" s="20">
        <f t="shared" si="72"/>
        <v>90.2</v>
      </c>
      <c r="J70" s="19">
        <f t="shared" si="5"/>
        <v>-57.2</v>
      </c>
    </row>
    <row r="71">
      <c r="A71" s="18">
        <v>-57.2</v>
      </c>
      <c r="B71" s="4" t="str">
        <f t="shared" si="2"/>
        <v>Over charged</v>
      </c>
      <c r="D71" s="19">
        <v>33.0</v>
      </c>
      <c r="E71" s="20">
        <v>90.2</v>
      </c>
      <c r="F71" s="19">
        <f t="shared" si="3"/>
        <v>-57.2</v>
      </c>
      <c r="H71" s="19">
        <f t="shared" ref="H71:I71" si="73">Round(D71,20)</f>
        <v>33</v>
      </c>
      <c r="I71" s="20">
        <f t="shared" si="73"/>
        <v>90.2</v>
      </c>
      <c r="J71" s="19">
        <f t="shared" si="5"/>
        <v>-57.2</v>
      </c>
    </row>
    <row r="72">
      <c r="A72" s="18">
        <v>-57.2</v>
      </c>
      <c r="B72" s="4" t="str">
        <f t="shared" si="2"/>
        <v>Over charged</v>
      </c>
      <c r="D72" s="19">
        <v>33.0</v>
      </c>
      <c r="E72" s="20">
        <v>90.2</v>
      </c>
      <c r="F72" s="19">
        <f t="shared" si="3"/>
        <v>-57.2</v>
      </c>
      <c r="H72" s="19">
        <f t="shared" ref="H72:I72" si="74">Round(D72,20)</f>
        <v>33</v>
      </c>
      <c r="I72" s="20">
        <f t="shared" si="74"/>
        <v>90.2</v>
      </c>
      <c r="J72" s="19">
        <f t="shared" si="5"/>
        <v>-57.2</v>
      </c>
    </row>
    <row r="73">
      <c r="A73" s="18">
        <v>23.39999999999999</v>
      </c>
      <c r="B73" s="4" t="str">
        <f t="shared" si="2"/>
        <v>Under charged</v>
      </c>
      <c r="D73" s="19">
        <v>110.1</v>
      </c>
      <c r="E73" s="20">
        <v>86.7</v>
      </c>
      <c r="F73" s="19">
        <f t="shared" si="3"/>
        <v>23.4</v>
      </c>
      <c r="H73" s="19">
        <f t="shared" ref="H73:I73" si="75">Round(D73,20)</f>
        <v>110.1</v>
      </c>
      <c r="I73" s="20">
        <f t="shared" si="75"/>
        <v>86.7</v>
      </c>
      <c r="J73" s="19">
        <f t="shared" si="5"/>
        <v>23.4</v>
      </c>
    </row>
    <row r="74">
      <c r="A74" s="18">
        <v>28.30000000000001</v>
      </c>
      <c r="B74" s="4" t="str">
        <f t="shared" si="2"/>
        <v>Under charged</v>
      </c>
      <c r="D74" s="19">
        <v>117.9</v>
      </c>
      <c r="E74" s="20">
        <v>89.6</v>
      </c>
      <c r="F74" s="19">
        <f t="shared" si="3"/>
        <v>28.3</v>
      </c>
      <c r="H74" s="19">
        <f t="shared" ref="H74:I74" si="76">Round(D74,20)</f>
        <v>117.9</v>
      </c>
      <c r="I74" s="20">
        <f t="shared" si="76"/>
        <v>89.6</v>
      </c>
      <c r="J74" s="19">
        <f t="shared" si="5"/>
        <v>28.3</v>
      </c>
    </row>
    <row r="75">
      <c r="A75" s="18">
        <v>44.79999999999998</v>
      </c>
      <c r="B75" s="4" t="str">
        <f t="shared" si="2"/>
        <v>Under charged</v>
      </c>
      <c r="D75" s="19">
        <v>179.79999999999998</v>
      </c>
      <c r="E75" s="20">
        <v>135.0</v>
      </c>
      <c r="F75" s="19">
        <f t="shared" si="3"/>
        <v>44.8</v>
      </c>
      <c r="H75" s="19">
        <f t="shared" ref="H75:I75" si="77">Round(D75,20)</f>
        <v>179.8</v>
      </c>
      <c r="I75" s="20">
        <f t="shared" si="77"/>
        <v>135</v>
      </c>
      <c r="J75" s="19">
        <f t="shared" si="5"/>
        <v>44.8</v>
      </c>
    </row>
    <row r="76">
      <c r="A76" s="18">
        <v>44.799999999999955</v>
      </c>
      <c r="B76" s="4" t="str">
        <f t="shared" si="2"/>
        <v>Under charged</v>
      </c>
      <c r="D76" s="19">
        <v>314.19999999999993</v>
      </c>
      <c r="E76" s="20">
        <v>269.4</v>
      </c>
      <c r="F76" s="19">
        <f t="shared" si="3"/>
        <v>44.8</v>
      </c>
      <c r="H76" s="19">
        <f t="shared" ref="H76:I76" si="78">Round(D76,20)</f>
        <v>314.2</v>
      </c>
      <c r="I76" s="20">
        <f t="shared" si="78"/>
        <v>269.4</v>
      </c>
      <c r="J76" s="19">
        <f t="shared" si="5"/>
        <v>44.8</v>
      </c>
    </row>
    <row r="77">
      <c r="A77" s="18">
        <v>-57.2</v>
      </c>
      <c r="B77" s="4" t="str">
        <f t="shared" si="2"/>
        <v>Over charged</v>
      </c>
      <c r="D77" s="19">
        <v>33.0</v>
      </c>
      <c r="E77" s="20">
        <v>90.2</v>
      </c>
      <c r="F77" s="19">
        <f t="shared" si="3"/>
        <v>-57.2</v>
      </c>
      <c r="H77" s="19">
        <f t="shared" ref="H77:I77" si="79">Round(D77,20)</f>
        <v>33</v>
      </c>
      <c r="I77" s="20">
        <f t="shared" si="79"/>
        <v>90.2</v>
      </c>
      <c r="J77" s="19">
        <f t="shared" si="5"/>
        <v>-57.2</v>
      </c>
    </row>
    <row r="78">
      <c r="A78" s="18">
        <v>-28.900000000000006</v>
      </c>
      <c r="B78" s="4" t="str">
        <f t="shared" si="2"/>
        <v>Over charged</v>
      </c>
      <c r="D78" s="19">
        <v>61.3</v>
      </c>
      <c r="E78" s="20">
        <v>90.2</v>
      </c>
      <c r="F78" s="19">
        <f t="shared" si="3"/>
        <v>-28.9</v>
      </c>
      <c r="H78" s="19">
        <f t="shared" ref="H78:I78" si="80">Round(D78,20)</f>
        <v>61.3</v>
      </c>
      <c r="I78" s="20">
        <f t="shared" si="80"/>
        <v>90.2</v>
      </c>
      <c r="J78" s="19">
        <f t="shared" si="5"/>
        <v>-28.9</v>
      </c>
    </row>
    <row r="79">
      <c r="A79" s="18">
        <v>-57.2</v>
      </c>
      <c r="B79" s="4" t="str">
        <f t="shared" si="2"/>
        <v>Over charged</v>
      </c>
      <c r="D79" s="19">
        <v>33.0</v>
      </c>
      <c r="E79" s="20">
        <v>90.2</v>
      </c>
      <c r="F79" s="19">
        <f t="shared" si="3"/>
        <v>-57.2</v>
      </c>
      <c r="H79" s="19">
        <f t="shared" ref="H79:I79" si="81">Round(D79,20)</f>
        <v>33</v>
      </c>
      <c r="I79" s="20">
        <f t="shared" si="81"/>
        <v>90.2</v>
      </c>
      <c r="J79" s="19">
        <f t="shared" si="5"/>
        <v>-57.2</v>
      </c>
    </row>
    <row r="80">
      <c r="A80" s="18">
        <v>-57.2</v>
      </c>
      <c r="B80" s="4" t="str">
        <f t="shared" si="2"/>
        <v>Over charged</v>
      </c>
      <c r="D80" s="19">
        <v>33.0</v>
      </c>
      <c r="E80" s="20">
        <v>90.2</v>
      </c>
      <c r="F80" s="19">
        <f t="shared" si="3"/>
        <v>-57.2</v>
      </c>
      <c r="H80" s="19">
        <f t="shared" ref="H80:I80" si="82">Round(D80,20)</f>
        <v>33</v>
      </c>
      <c r="I80" s="20">
        <f t="shared" si="82"/>
        <v>90.2</v>
      </c>
      <c r="J80" s="19">
        <f t="shared" si="5"/>
        <v>-57.2</v>
      </c>
    </row>
    <row r="81">
      <c r="A81" s="18">
        <v>-118.50000000000001</v>
      </c>
      <c r="B81" s="4" t="str">
        <f t="shared" si="2"/>
        <v>Over charged</v>
      </c>
      <c r="D81" s="19">
        <v>61.3</v>
      </c>
      <c r="E81" s="20">
        <v>179.8</v>
      </c>
      <c r="F81" s="19">
        <f t="shared" si="3"/>
        <v>-118.5</v>
      </c>
      <c r="H81" s="19">
        <f t="shared" ref="H81:I81" si="83">Round(D81,20)</f>
        <v>61.3</v>
      </c>
      <c r="I81" s="20">
        <f t="shared" si="83"/>
        <v>179.8</v>
      </c>
      <c r="J81" s="19">
        <f t="shared" si="5"/>
        <v>-118.5</v>
      </c>
    </row>
    <row r="82">
      <c r="A82" s="18">
        <v>-163.3</v>
      </c>
      <c r="B82" s="4" t="str">
        <f t="shared" si="2"/>
        <v>Over charged</v>
      </c>
      <c r="D82" s="19">
        <v>61.3</v>
      </c>
      <c r="E82" s="20">
        <v>224.6</v>
      </c>
      <c r="F82" s="19">
        <f t="shared" si="3"/>
        <v>-163.3</v>
      </c>
      <c r="H82" s="19">
        <f t="shared" ref="H82:I82" si="84">Round(D82,20)</f>
        <v>61.3</v>
      </c>
      <c r="I82" s="20">
        <f t="shared" si="84"/>
        <v>224.6</v>
      </c>
      <c r="J82" s="19">
        <f t="shared" si="5"/>
        <v>-163.3</v>
      </c>
    </row>
    <row r="83">
      <c r="A83" s="18">
        <v>-57.2</v>
      </c>
      <c r="B83" s="4" t="str">
        <f t="shared" si="2"/>
        <v>Over charged</v>
      </c>
      <c r="D83" s="19">
        <v>33.0</v>
      </c>
      <c r="E83" s="20">
        <v>90.2</v>
      </c>
      <c r="F83" s="19">
        <f t="shared" si="3"/>
        <v>-57.2</v>
      </c>
      <c r="H83" s="19">
        <f t="shared" ref="H83:I83" si="85">Round(D83,20)</f>
        <v>33</v>
      </c>
      <c r="I83" s="20">
        <f t="shared" si="85"/>
        <v>90.2</v>
      </c>
      <c r="J83" s="19">
        <f t="shared" si="5"/>
        <v>-57.2</v>
      </c>
    </row>
    <row r="84">
      <c r="A84" s="18">
        <v>-57.2</v>
      </c>
      <c r="B84" s="4" t="str">
        <f t="shared" si="2"/>
        <v>Over charged</v>
      </c>
      <c r="D84" s="19">
        <v>33.0</v>
      </c>
      <c r="E84" s="20">
        <v>90.2</v>
      </c>
      <c r="F84" s="19">
        <f t="shared" si="3"/>
        <v>-57.2</v>
      </c>
      <c r="H84" s="19">
        <f t="shared" ref="H84:I84" si="86">Round(D84,20)</f>
        <v>33</v>
      </c>
      <c r="I84" s="20">
        <f t="shared" si="86"/>
        <v>90.2</v>
      </c>
      <c r="J84" s="19">
        <f t="shared" si="5"/>
        <v>-57.2</v>
      </c>
    </row>
    <row r="85">
      <c r="A85" s="18">
        <v>-28.900000000000006</v>
      </c>
      <c r="B85" s="4" t="str">
        <f t="shared" si="2"/>
        <v>Over charged</v>
      </c>
      <c r="D85" s="19">
        <v>61.3</v>
      </c>
      <c r="E85" s="20">
        <v>90.2</v>
      </c>
      <c r="F85" s="19">
        <f t="shared" si="3"/>
        <v>-28.9</v>
      </c>
      <c r="H85" s="19">
        <f t="shared" ref="H85:I85" si="87">Round(D85,20)</f>
        <v>61.3</v>
      </c>
      <c r="I85" s="20">
        <f t="shared" si="87"/>
        <v>90.2</v>
      </c>
      <c r="J85" s="19">
        <f t="shared" si="5"/>
        <v>-28.9</v>
      </c>
    </row>
    <row r="86">
      <c r="A86" s="18">
        <v>7.0</v>
      </c>
      <c r="B86" s="4" t="str">
        <f t="shared" si="2"/>
        <v>Under charged</v>
      </c>
      <c r="D86" s="19">
        <v>265.9</v>
      </c>
      <c r="E86" s="20">
        <v>258.9</v>
      </c>
      <c r="F86" s="19">
        <f t="shared" si="3"/>
        <v>7</v>
      </c>
      <c r="H86" s="19">
        <f t="shared" ref="H86:I86" si="88">Round(D86,20)</f>
        <v>265.9</v>
      </c>
      <c r="I86" s="20">
        <f t="shared" si="88"/>
        <v>258.9</v>
      </c>
      <c r="J86" s="19">
        <f t="shared" si="5"/>
        <v>7</v>
      </c>
    </row>
    <row r="87">
      <c r="A87" s="18">
        <v>-28.900000000000006</v>
      </c>
      <c r="B87" s="4" t="str">
        <f t="shared" si="2"/>
        <v>Over charged</v>
      </c>
      <c r="D87" s="19">
        <v>61.3</v>
      </c>
      <c r="E87" s="20">
        <v>90.2</v>
      </c>
      <c r="F87" s="19">
        <f t="shared" si="3"/>
        <v>-28.9</v>
      </c>
      <c r="H87" s="19">
        <f t="shared" ref="H87:I87" si="89">Round(D87,20)</f>
        <v>61.3</v>
      </c>
      <c r="I87" s="20">
        <f t="shared" si="89"/>
        <v>90.2</v>
      </c>
      <c r="J87" s="19">
        <f t="shared" si="5"/>
        <v>-28.9</v>
      </c>
    </row>
    <row r="88">
      <c r="A88" s="18">
        <v>-73.7</v>
      </c>
      <c r="B88" s="4" t="str">
        <f t="shared" si="2"/>
        <v>Over charged</v>
      </c>
      <c r="D88" s="19">
        <v>61.3</v>
      </c>
      <c r="E88" s="20">
        <v>135.0</v>
      </c>
      <c r="F88" s="19">
        <f t="shared" si="3"/>
        <v>-73.7</v>
      </c>
      <c r="H88" s="19">
        <f t="shared" ref="H88:I88" si="90">Round(D88,20)</f>
        <v>61.3</v>
      </c>
      <c r="I88" s="20">
        <f t="shared" si="90"/>
        <v>135</v>
      </c>
      <c r="J88" s="19">
        <f t="shared" si="5"/>
        <v>-73.7</v>
      </c>
    </row>
    <row r="89">
      <c r="A89" s="18">
        <v>-28.900000000000006</v>
      </c>
      <c r="B89" s="4" t="str">
        <f t="shared" si="2"/>
        <v>Over charged</v>
      </c>
      <c r="D89" s="19">
        <v>61.3</v>
      </c>
      <c r="E89" s="20">
        <v>90.2</v>
      </c>
      <c r="F89" s="19">
        <f t="shared" si="3"/>
        <v>-28.9</v>
      </c>
      <c r="H89" s="19">
        <f t="shared" ref="H89:I89" si="91">Round(D89,20)</f>
        <v>61.3</v>
      </c>
      <c r="I89" s="20">
        <f t="shared" si="91"/>
        <v>90.2</v>
      </c>
      <c r="J89" s="19">
        <f t="shared" si="5"/>
        <v>-28.9</v>
      </c>
    </row>
    <row r="90">
      <c r="A90" s="18">
        <v>-28.900000000000006</v>
      </c>
      <c r="B90" s="4" t="str">
        <f t="shared" si="2"/>
        <v>Over charged</v>
      </c>
      <c r="D90" s="19">
        <v>61.3</v>
      </c>
      <c r="E90" s="20">
        <v>90.2</v>
      </c>
      <c r="F90" s="19">
        <f t="shared" si="3"/>
        <v>-28.9</v>
      </c>
      <c r="H90" s="19">
        <f t="shared" ref="H90:I90" si="92">Round(D90,20)</f>
        <v>61.3</v>
      </c>
      <c r="I90" s="20">
        <f t="shared" si="92"/>
        <v>90.2</v>
      </c>
      <c r="J90" s="19">
        <f t="shared" si="5"/>
        <v>-28.9</v>
      </c>
    </row>
    <row r="91">
      <c r="A91" s="18">
        <v>50.8</v>
      </c>
      <c r="B91" s="4" t="str">
        <f t="shared" si="2"/>
        <v>Under charged</v>
      </c>
      <c r="D91" s="19">
        <v>112.1</v>
      </c>
      <c r="E91" s="20">
        <v>61.3</v>
      </c>
      <c r="F91" s="19">
        <f t="shared" si="3"/>
        <v>50.8</v>
      </c>
      <c r="H91" s="19">
        <f t="shared" ref="H91:I91" si="93">Round(D91,20)</f>
        <v>112.1</v>
      </c>
      <c r="I91" s="20">
        <f t="shared" si="93"/>
        <v>61.3</v>
      </c>
      <c r="J91" s="19">
        <f t="shared" si="5"/>
        <v>50.8</v>
      </c>
    </row>
    <row r="92">
      <c r="A92" s="18">
        <v>-33.2</v>
      </c>
      <c r="B92" s="4" t="str">
        <f t="shared" si="2"/>
        <v>Over charged</v>
      </c>
      <c r="D92" s="19">
        <v>53.5</v>
      </c>
      <c r="E92" s="20">
        <v>86.7</v>
      </c>
      <c r="F92" s="19">
        <f t="shared" si="3"/>
        <v>-33.2</v>
      </c>
      <c r="H92" s="19">
        <f t="shared" ref="H92:I92" si="94">Round(D92,20)</f>
        <v>53.5</v>
      </c>
      <c r="I92" s="20">
        <f t="shared" si="94"/>
        <v>86.7</v>
      </c>
      <c r="J92" s="19">
        <f t="shared" si="5"/>
        <v>-33.2</v>
      </c>
    </row>
    <row r="93">
      <c r="A93" s="18">
        <v>-57.2</v>
      </c>
      <c r="B93" s="4" t="str">
        <f t="shared" si="2"/>
        <v>Over charged</v>
      </c>
      <c r="D93" s="19">
        <v>33.0</v>
      </c>
      <c r="E93" s="20">
        <v>90.2</v>
      </c>
      <c r="F93" s="19">
        <f t="shared" si="3"/>
        <v>-57.2</v>
      </c>
      <c r="H93" s="19">
        <f t="shared" ref="H93:I93" si="95">Round(D93,20)</f>
        <v>33</v>
      </c>
      <c r="I93" s="20">
        <f t="shared" si="95"/>
        <v>90.2</v>
      </c>
      <c r="J93" s="19">
        <f t="shared" si="5"/>
        <v>-57.2</v>
      </c>
    </row>
    <row r="94">
      <c r="A94" s="18">
        <v>7.799999999999997</v>
      </c>
      <c r="B94" s="4" t="str">
        <f t="shared" si="2"/>
        <v>Under charged</v>
      </c>
      <c r="D94" s="19">
        <v>110.1</v>
      </c>
      <c r="E94" s="20">
        <v>102.3</v>
      </c>
      <c r="F94" s="19">
        <f t="shared" si="3"/>
        <v>7.8</v>
      </c>
      <c r="H94" s="19">
        <f t="shared" ref="H94:I94" si="96">Round(D94,20)</f>
        <v>110.1</v>
      </c>
      <c r="I94" s="20">
        <f t="shared" si="96"/>
        <v>102.3</v>
      </c>
      <c r="J94" s="19">
        <f t="shared" si="5"/>
        <v>7.8</v>
      </c>
    </row>
    <row r="95">
      <c r="A95" s="18">
        <v>-94.89999999999998</v>
      </c>
      <c r="B95" s="4" t="str">
        <f t="shared" si="2"/>
        <v>Over charged</v>
      </c>
      <c r="D95" s="19">
        <v>174.5</v>
      </c>
      <c r="E95" s="20">
        <v>269.4</v>
      </c>
      <c r="F95" s="19">
        <f t="shared" si="3"/>
        <v>-94.9</v>
      </c>
      <c r="H95" s="19">
        <f t="shared" ref="H95:I95" si="97">Round(D95,20)</f>
        <v>174.5</v>
      </c>
      <c r="I95" s="20">
        <f t="shared" si="97"/>
        <v>269.4</v>
      </c>
      <c r="J95" s="19">
        <f t="shared" si="5"/>
        <v>-94.9</v>
      </c>
    </row>
    <row r="96">
      <c r="A96" s="18">
        <v>-57.2</v>
      </c>
      <c r="B96" s="4" t="str">
        <f t="shared" si="2"/>
        <v>Over charged</v>
      </c>
      <c r="D96" s="19">
        <v>33.0</v>
      </c>
      <c r="E96" s="20">
        <v>90.2</v>
      </c>
      <c r="F96" s="19">
        <f t="shared" si="3"/>
        <v>-57.2</v>
      </c>
      <c r="H96" s="19">
        <f t="shared" ref="H96:I96" si="98">Round(D96,20)</f>
        <v>33</v>
      </c>
      <c r="I96" s="20">
        <f t="shared" si="98"/>
        <v>90.2</v>
      </c>
      <c r="J96" s="19">
        <f t="shared" si="5"/>
        <v>-57.2</v>
      </c>
    </row>
    <row r="97">
      <c r="A97" s="18">
        <v>-28.900000000000006</v>
      </c>
      <c r="B97" s="4" t="str">
        <f t="shared" si="2"/>
        <v>Over charged</v>
      </c>
      <c r="D97" s="19">
        <v>61.3</v>
      </c>
      <c r="E97" s="20">
        <v>90.2</v>
      </c>
      <c r="F97" s="19">
        <f t="shared" si="3"/>
        <v>-28.9</v>
      </c>
      <c r="H97" s="19">
        <f t="shared" ref="H97:I97" si="99">Round(D97,20)</f>
        <v>61.3</v>
      </c>
      <c r="I97" s="20">
        <f t="shared" si="99"/>
        <v>90.2</v>
      </c>
      <c r="J97" s="19">
        <f t="shared" si="5"/>
        <v>-28.9</v>
      </c>
    </row>
    <row r="98">
      <c r="A98" s="18">
        <v>-28.900000000000006</v>
      </c>
      <c r="B98" s="4" t="str">
        <f t="shared" si="2"/>
        <v>Over charged</v>
      </c>
      <c r="D98" s="19">
        <v>61.3</v>
      </c>
      <c r="E98" s="20">
        <v>90.2</v>
      </c>
      <c r="F98" s="19">
        <f t="shared" si="3"/>
        <v>-28.9</v>
      </c>
      <c r="H98" s="19">
        <f t="shared" ref="H98:I98" si="100">Round(D98,20)</f>
        <v>61.3</v>
      </c>
      <c r="I98" s="20">
        <f t="shared" si="100"/>
        <v>90.2</v>
      </c>
      <c r="J98" s="19">
        <f t="shared" si="5"/>
        <v>-28.9</v>
      </c>
    </row>
    <row r="99">
      <c r="A99" s="18">
        <v>-33.2</v>
      </c>
      <c r="B99" s="4" t="str">
        <f t="shared" si="2"/>
        <v>Over charged</v>
      </c>
      <c r="D99" s="19">
        <v>53.5</v>
      </c>
      <c r="E99" s="20">
        <v>86.7</v>
      </c>
      <c r="F99" s="19">
        <f t="shared" si="3"/>
        <v>-33.2</v>
      </c>
      <c r="H99" s="19">
        <f t="shared" ref="H99:I99" si="101">Round(D99,20)</f>
        <v>53.5</v>
      </c>
      <c r="I99" s="20">
        <f t="shared" si="101"/>
        <v>86.7</v>
      </c>
      <c r="J99" s="19">
        <f t="shared" si="5"/>
        <v>-33.2</v>
      </c>
    </row>
    <row r="100">
      <c r="A100" s="18">
        <v>-12.399999999999999</v>
      </c>
      <c r="B100" s="4" t="str">
        <f t="shared" si="2"/>
        <v>Over charged</v>
      </c>
      <c r="D100" s="19">
        <v>33.0</v>
      </c>
      <c r="E100" s="20">
        <v>45.4</v>
      </c>
      <c r="F100" s="19">
        <f t="shared" si="3"/>
        <v>-12.4</v>
      </c>
      <c r="H100" s="19">
        <f t="shared" ref="H100:I100" si="102">Round(D100,20)</f>
        <v>33</v>
      </c>
      <c r="I100" s="20">
        <f t="shared" si="102"/>
        <v>45.4</v>
      </c>
      <c r="J100" s="19">
        <f t="shared" si="5"/>
        <v>-12.4</v>
      </c>
    </row>
    <row r="101">
      <c r="A101" s="18">
        <v>-28.900000000000006</v>
      </c>
      <c r="B101" s="4" t="str">
        <f t="shared" si="2"/>
        <v>Over charged</v>
      </c>
      <c r="D101" s="19">
        <v>61.3</v>
      </c>
      <c r="E101" s="20">
        <v>90.2</v>
      </c>
      <c r="F101" s="19">
        <f t="shared" si="3"/>
        <v>-28.9</v>
      </c>
      <c r="H101" s="19">
        <f t="shared" ref="H101:I101" si="103">Round(D101,20)</f>
        <v>61.3</v>
      </c>
      <c r="I101" s="20">
        <f t="shared" si="103"/>
        <v>90.2</v>
      </c>
      <c r="J101" s="19">
        <f t="shared" si="5"/>
        <v>-28.9</v>
      </c>
    </row>
    <row r="102">
      <c r="A102" s="18">
        <v>3.4999999999999716</v>
      </c>
      <c r="B102" s="4" t="str">
        <f t="shared" si="2"/>
        <v>Under charged</v>
      </c>
      <c r="D102" s="19">
        <v>176.29999999999998</v>
      </c>
      <c r="E102" s="20">
        <v>172.8</v>
      </c>
      <c r="F102" s="19">
        <f t="shared" si="3"/>
        <v>3.5</v>
      </c>
      <c r="H102" s="19">
        <f t="shared" ref="H102:I102" si="104">Round(D102,20)</f>
        <v>176.3</v>
      </c>
      <c r="I102" s="20">
        <f t="shared" si="104"/>
        <v>172.8</v>
      </c>
      <c r="J102" s="19">
        <f t="shared" si="5"/>
        <v>3.5</v>
      </c>
    </row>
    <row r="103">
      <c r="A103" s="18">
        <v>-12.399999999999999</v>
      </c>
      <c r="B103" s="4" t="str">
        <f t="shared" si="2"/>
        <v>Over charged</v>
      </c>
      <c r="D103" s="19">
        <v>33.0</v>
      </c>
      <c r="E103" s="20">
        <v>45.4</v>
      </c>
      <c r="F103" s="19">
        <f t="shared" si="3"/>
        <v>-12.4</v>
      </c>
      <c r="H103" s="19">
        <f t="shared" ref="H103:I103" si="105">Round(D103,20)</f>
        <v>33</v>
      </c>
      <c r="I103" s="20">
        <f t="shared" si="105"/>
        <v>45.4</v>
      </c>
      <c r="J103" s="19">
        <f t="shared" si="5"/>
        <v>-12.4</v>
      </c>
    </row>
    <row r="104">
      <c r="A104" s="18">
        <v>3.4999999999999716</v>
      </c>
      <c r="B104" s="4" t="str">
        <f t="shared" si="2"/>
        <v>Under charged</v>
      </c>
      <c r="D104" s="19">
        <v>176.29999999999998</v>
      </c>
      <c r="E104" s="20">
        <v>172.8</v>
      </c>
      <c r="F104" s="19">
        <f t="shared" si="3"/>
        <v>3.5</v>
      </c>
      <c r="H104" s="19">
        <f t="shared" ref="H104:I104" si="106">Round(D104,20)</f>
        <v>176.3</v>
      </c>
      <c r="I104" s="20">
        <f t="shared" si="106"/>
        <v>172.8</v>
      </c>
      <c r="J104" s="19">
        <f t="shared" si="5"/>
        <v>3.5</v>
      </c>
    </row>
    <row r="105">
      <c r="A105" s="18">
        <v>4.800000000000011</v>
      </c>
      <c r="B105" s="4" t="str">
        <f t="shared" si="2"/>
        <v>Under charged</v>
      </c>
      <c r="D105" s="19">
        <v>218.3</v>
      </c>
      <c r="E105" s="20">
        <v>213.5</v>
      </c>
      <c r="F105" s="19">
        <f t="shared" si="3"/>
        <v>4.8</v>
      </c>
      <c r="H105" s="19">
        <f t="shared" ref="H105:I105" si="107">Round(D105,20)</f>
        <v>218.3</v>
      </c>
      <c r="I105" s="20">
        <f t="shared" si="107"/>
        <v>213.5</v>
      </c>
      <c r="J105" s="19">
        <f t="shared" si="5"/>
        <v>4.8</v>
      </c>
    </row>
    <row r="106">
      <c r="A106" s="18">
        <v>23.6</v>
      </c>
      <c r="B106" s="4" t="str">
        <f t="shared" si="2"/>
        <v>Under charged</v>
      </c>
      <c r="D106" s="19">
        <v>56.6</v>
      </c>
      <c r="E106" s="20">
        <v>33.0</v>
      </c>
      <c r="F106" s="19">
        <f t="shared" si="3"/>
        <v>23.6</v>
      </c>
      <c r="H106" s="19">
        <f t="shared" ref="H106:I106" si="108">Round(D106,20)</f>
        <v>56.6</v>
      </c>
      <c r="I106" s="20">
        <f t="shared" si="108"/>
        <v>33</v>
      </c>
      <c r="J106" s="19">
        <f t="shared" si="5"/>
        <v>23.6</v>
      </c>
    </row>
    <row r="107">
      <c r="A107" s="18">
        <v>15.899999999999999</v>
      </c>
      <c r="B107" s="4" t="str">
        <f t="shared" si="2"/>
        <v>Under charged</v>
      </c>
      <c r="D107" s="19">
        <v>61.3</v>
      </c>
      <c r="E107" s="20">
        <v>45.4</v>
      </c>
      <c r="F107" s="19">
        <f t="shared" si="3"/>
        <v>15.9</v>
      </c>
      <c r="H107" s="19">
        <f t="shared" ref="H107:I107" si="109">Round(D107,20)</f>
        <v>61.3</v>
      </c>
      <c r="I107" s="20">
        <f t="shared" si="109"/>
        <v>45.4</v>
      </c>
      <c r="J107" s="19">
        <f t="shared" si="5"/>
        <v>15.9</v>
      </c>
    </row>
    <row r="108">
      <c r="A108" s="18">
        <v>7.0</v>
      </c>
      <c r="B108" s="4" t="str">
        <f t="shared" si="2"/>
        <v>Under charged</v>
      </c>
      <c r="D108" s="19">
        <v>265.9</v>
      </c>
      <c r="E108" s="20">
        <v>258.9</v>
      </c>
      <c r="F108" s="19">
        <f t="shared" si="3"/>
        <v>7</v>
      </c>
      <c r="H108" s="19">
        <f t="shared" ref="H108:I108" si="110">Round(D108,20)</f>
        <v>265.9</v>
      </c>
      <c r="I108" s="20">
        <f t="shared" si="110"/>
        <v>258.9</v>
      </c>
      <c r="J108" s="19">
        <f t="shared" si="5"/>
        <v>7</v>
      </c>
    </row>
    <row r="109">
      <c r="A109" s="18">
        <v>-78.4</v>
      </c>
      <c r="B109" s="4" t="str">
        <f t="shared" si="2"/>
        <v>Over charged</v>
      </c>
      <c r="D109" s="19">
        <v>146.2</v>
      </c>
      <c r="E109" s="20">
        <v>224.6</v>
      </c>
      <c r="F109" s="19">
        <f t="shared" si="3"/>
        <v>-78.4</v>
      </c>
      <c r="H109" s="19">
        <f t="shared" ref="H109:I109" si="111">Round(D109,20)</f>
        <v>146.2</v>
      </c>
      <c r="I109" s="20">
        <f t="shared" si="111"/>
        <v>224.6</v>
      </c>
      <c r="J109" s="19">
        <f t="shared" si="5"/>
        <v>-78.4</v>
      </c>
    </row>
    <row r="110">
      <c r="A110" s="18">
        <v>-12.399999999999999</v>
      </c>
      <c r="B110" s="4" t="str">
        <f t="shared" si="2"/>
        <v>Over charged</v>
      </c>
      <c r="D110" s="19">
        <v>33.0</v>
      </c>
      <c r="E110" s="20">
        <v>45.4</v>
      </c>
      <c r="F110" s="19">
        <f t="shared" si="3"/>
        <v>-12.4</v>
      </c>
      <c r="H110" s="19">
        <f t="shared" ref="H110:I110" si="112">Round(D110,20)</f>
        <v>33</v>
      </c>
      <c r="I110" s="20">
        <f t="shared" si="112"/>
        <v>45.4</v>
      </c>
      <c r="J110" s="19">
        <f t="shared" si="5"/>
        <v>-12.4</v>
      </c>
    </row>
    <row r="111">
      <c r="A111" s="18">
        <v>-12.399999999999999</v>
      </c>
      <c r="B111" s="4" t="str">
        <f t="shared" si="2"/>
        <v>Over charged</v>
      </c>
      <c r="D111" s="19">
        <v>33.0</v>
      </c>
      <c r="E111" s="20">
        <v>45.4</v>
      </c>
      <c r="F111" s="19">
        <f t="shared" si="3"/>
        <v>-12.4</v>
      </c>
      <c r="H111" s="19">
        <f t="shared" ref="H111:I111" si="113">Round(D111,20)</f>
        <v>33</v>
      </c>
      <c r="I111" s="20">
        <f t="shared" si="113"/>
        <v>45.4</v>
      </c>
      <c r="J111" s="19">
        <f t="shared" si="5"/>
        <v>-12.4</v>
      </c>
    </row>
    <row r="112">
      <c r="A112" s="18">
        <v>-12.399999999999999</v>
      </c>
      <c r="B112" s="4" t="str">
        <f t="shared" si="2"/>
        <v>Over charged</v>
      </c>
      <c r="D112" s="19">
        <v>33.0</v>
      </c>
      <c r="E112" s="20">
        <v>45.4</v>
      </c>
      <c r="F112" s="19">
        <f t="shared" si="3"/>
        <v>-12.4</v>
      </c>
      <c r="H112" s="19">
        <f t="shared" ref="H112:I112" si="114">Round(D112,20)</f>
        <v>33</v>
      </c>
      <c r="I112" s="20">
        <f t="shared" si="114"/>
        <v>45.4</v>
      </c>
      <c r="J112" s="19">
        <f t="shared" si="5"/>
        <v>-12.4</v>
      </c>
    </row>
    <row r="113">
      <c r="A113" s="18">
        <v>-28.900000000000006</v>
      </c>
      <c r="B113" s="4" t="str">
        <f t="shared" si="2"/>
        <v>Over charged</v>
      </c>
      <c r="D113" s="19">
        <v>61.3</v>
      </c>
      <c r="E113" s="20">
        <v>90.2</v>
      </c>
      <c r="F113" s="19">
        <f t="shared" si="3"/>
        <v>-28.9</v>
      </c>
      <c r="H113" s="19">
        <f t="shared" ref="H113:I113" si="115">Round(D113,20)</f>
        <v>61.3</v>
      </c>
      <c r="I113" s="20">
        <f t="shared" si="115"/>
        <v>90.2</v>
      </c>
      <c r="J113" s="19">
        <f t="shared" si="5"/>
        <v>-28.9</v>
      </c>
    </row>
    <row r="114">
      <c r="A114" s="18">
        <v>-12.399999999999999</v>
      </c>
      <c r="B114" s="4" t="str">
        <f t="shared" si="2"/>
        <v>Over charged</v>
      </c>
      <c r="D114" s="19">
        <v>33.0</v>
      </c>
      <c r="E114" s="20">
        <v>45.4</v>
      </c>
      <c r="F114" s="19">
        <f t="shared" si="3"/>
        <v>-12.4</v>
      </c>
      <c r="H114" s="19">
        <f t="shared" ref="H114:I114" si="116">Round(D114,20)</f>
        <v>33</v>
      </c>
      <c r="I114" s="20">
        <f t="shared" si="116"/>
        <v>45.4</v>
      </c>
      <c r="J114" s="19">
        <f t="shared" si="5"/>
        <v>-12.4</v>
      </c>
    </row>
    <row r="115">
      <c r="A115" s="18">
        <v>-12.399999999999999</v>
      </c>
      <c r="B115" s="4" t="str">
        <f t="shared" si="2"/>
        <v>Over charged</v>
      </c>
      <c r="D115" s="19">
        <v>33.0</v>
      </c>
      <c r="E115" s="20">
        <v>45.4</v>
      </c>
      <c r="F115" s="19">
        <f t="shared" si="3"/>
        <v>-12.4</v>
      </c>
      <c r="H115" s="19">
        <f t="shared" ref="H115:I115" si="117">Round(D115,20)</f>
        <v>33</v>
      </c>
      <c r="I115" s="20">
        <f t="shared" si="117"/>
        <v>45.4</v>
      </c>
      <c r="J115" s="19">
        <f t="shared" si="5"/>
        <v>-12.4</v>
      </c>
    </row>
    <row r="116">
      <c r="A116" s="18">
        <v>-28.900000000000006</v>
      </c>
      <c r="B116" s="4" t="str">
        <f t="shared" si="2"/>
        <v>Over charged</v>
      </c>
      <c r="D116" s="19">
        <v>61.3</v>
      </c>
      <c r="E116" s="20">
        <v>90.2</v>
      </c>
      <c r="F116" s="19">
        <f t="shared" si="3"/>
        <v>-28.9</v>
      </c>
      <c r="H116" s="19">
        <f t="shared" ref="H116:I116" si="118">Round(D116,20)</f>
        <v>61.3</v>
      </c>
      <c r="I116" s="20">
        <f t="shared" si="118"/>
        <v>90.2</v>
      </c>
      <c r="J116" s="19">
        <f t="shared" si="5"/>
        <v>-28.9</v>
      </c>
    </row>
    <row r="117">
      <c r="A117" s="18">
        <v>-45.400000000000006</v>
      </c>
      <c r="B117" s="4" t="str">
        <f t="shared" si="2"/>
        <v>Over charged</v>
      </c>
      <c r="D117" s="19">
        <v>89.6</v>
      </c>
      <c r="E117" s="20">
        <v>135.0</v>
      </c>
      <c r="F117" s="19">
        <f t="shared" si="3"/>
        <v>-45.4</v>
      </c>
      <c r="H117" s="19">
        <f t="shared" ref="H117:I117" si="119">Round(D117,20)</f>
        <v>89.6</v>
      </c>
      <c r="I117" s="20">
        <f t="shared" si="119"/>
        <v>135</v>
      </c>
      <c r="J117" s="19">
        <f t="shared" si="5"/>
        <v>-45.4</v>
      </c>
    </row>
    <row r="118">
      <c r="A118" s="18">
        <v>-12.399999999999999</v>
      </c>
      <c r="B118" s="4" t="str">
        <f t="shared" si="2"/>
        <v>Over charged</v>
      </c>
      <c r="D118" s="19">
        <v>33.0</v>
      </c>
      <c r="E118" s="20">
        <v>45.4</v>
      </c>
      <c r="F118" s="19">
        <f t="shared" si="3"/>
        <v>-12.4</v>
      </c>
      <c r="H118" s="19">
        <f t="shared" ref="H118:I118" si="120">Round(D118,20)</f>
        <v>33</v>
      </c>
      <c r="I118" s="20">
        <f t="shared" si="120"/>
        <v>45.4</v>
      </c>
      <c r="J118" s="19">
        <f t="shared" si="5"/>
        <v>-12.4</v>
      </c>
    </row>
    <row r="119">
      <c r="A119" s="18">
        <v>3.4999999999999716</v>
      </c>
      <c r="B119" s="4" t="str">
        <f t="shared" si="2"/>
        <v>Under charged</v>
      </c>
      <c r="D119" s="19">
        <v>176.29999999999998</v>
      </c>
      <c r="E119" s="20">
        <v>172.8</v>
      </c>
      <c r="F119" s="19">
        <f t="shared" si="3"/>
        <v>3.5</v>
      </c>
      <c r="H119" s="19">
        <f t="shared" ref="H119:I119" si="121">Round(D119,20)</f>
        <v>176.3</v>
      </c>
      <c r="I119" s="20">
        <f t="shared" si="121"/>
        <v>172.8</v>
      </c>
      <c r="J119" s="19">
        <f t="shared" si="5"/>
        <v>3.5</v>
      </c>
    </row>
    <row r="120">
      <c r="A120" s="18">
        <v>15.599999999999994</v>
      </c>
      <c r="B120" s="4" t="str">
        <f t="shared" si="2"/>
        <v>Under charged</v>
      </c>
      <c r="D120" s="19">
        <v>166.7</v>
      </c>
      <c r="E120" s="20">
        <v>151.1</v>
      </c>
      <c r="F120" s="19">
        <f t="shared" si="3"/>
        <v>15.6</v>
      </c>
      <c r="H120" s="19">
        <f t="shared" ref="H120:I120" si="122">Round(D120,20)</f>
        <v>166.7</v>
      </c>
      <c r="I120" s="20">
        <f t="shared" si="122"/>
        <v>151.1</v>
      </c>
      <c r="J120" s="19">
        <f t="shared" si="5"/>
        <v>15.6</v>
      </c>
    </row>
    <row r="121">
      <c r="A121" s="18">
        <v>3.4999999999999716</v>
      </c>
      <c r="B121" s="4" t="str">
        <f t="shared" si="2"/>
        <v>Under charged</v>
      </c>
      <c r="D121" s="19">
        <v>176.29999999999998</v>
      </c>
      <c r="E121" s="20">
        <v>172.8</v>
      </c>
      <c r="F121" s="19">
        <f t="shared" si="3"/>
        <v>3.5</v>
      </c>
      <c r="H121" s="19">
        <f t="shared" ref="H121:I121" si="123">Round(D121,20)</f>
        <v>176.3</v>
      </c>
      <c r="I121" s="20">
        <f t="shared" si="123"/>
        <v>172.8</v>
      </c>
      <c r="J121" s="19">
        <f t="shared" si="5"/>
        <v>3.5</v>
      </c>
    </row>
    <row r="122">
      <c r="A122" s="18">
        <v>79.1</v>
      </c>
      <c r="B122" s="4" t="str">
        <f t="shared" si="2"/>
        <v>Under charged</v>
      </c>
      <c r="D122" s="19">
        <v>112.1</v>
      </c>
      <c r="E122" s="20">
        <v>33.0</v>
      </c>
      <c r="F122" s="19">
        <f t="shared" si="3"/>
        <v>79.1</v>
      </c>
      <c r="H122" s="19">
        <f t="shared" ref="H122:I122" si="124">Round(D122,20)</f>
        <v>112.1</v>
      </c>
      <c r="I122" s="20">
        <f t="shared" si="124"/>
        <v>33</v>
      </c>
      <c r="J122" s="19">
        <f t="shared" si="5"/>
        <v>79.1</v>
      </c>
    </row>
    <row r="123">
      <c r="A123" s="18">
        <v>15.899999999999999</v>
      </c>
      <c r="B123" s="4" t="str">
        <f t="shared" si="2"/>
        <v>Under charged</v>
      </c>
      <c r="D123" s="19">
        <v>61.3</v>
      </c>
      <c r="E123" s="20">
        <v>45.4</v>
      </c>
      <c r="F123" s="19">
        <f t="shared" si="3"/>
        <v>15.9</v>
      </c>
      <c r="H123" s="19">
        <f t="shared" ref="H123:I123" si="125">Round(D123,20)</f>
        <v>61.3</v>
      </c>
      <c r="I123" s="20">
        <f t="shared" si="125"/>
        <v>45.4</v>
      </c>
      <c r="J123" s="19">
        <f t="shared" si="5"/>
        <v>15.9</v>
      </c>
    </row>
    <row r="124">
      <c r="A124" s="18">
        <v>10.5</v>
      </c>
      <c r="B124" s="4" t="str">
        <f t="shared" si="2"/>
        <v>Under charged</v>
      </c>
      <c r="D124" s="19">
        <v>355.5</v>
      </c>
      <c r="E124" s="20">
        <v>345.0</v>
      </c>
      <c r="F124" s="19">
        <f t="shared" si="3"/>
        <v>10.5</v>
      </c>
      <c r="H124" s="19">
        <f t="shared" ref="H124:I124" si="126">Round(D124,20)</f>
        <v>355.5</v>
      </c>
      <c r="I124" s="20">
        <f t="shared" si="126"/>
        <v>345</v>
      </c>
      <c r="J124" s="19">
        <f t="shared" si="5"/>
        <v>10.5</v>
      </c>
    </row>
    <row r="125">
      <c r="A125" s="18">
        <v>105.19999999999999</v>
      </c>
      <c r="B125" s="4" t="str">
        <f t="shared" si="2"/>
        <v>Under charged</v>
      </c>
      <c r="D125" s="19">
        <v>223.1</v>
      </c>
      <c r="E125" s="20">
        <v>117.9</v>
      </c>
      <c r="F125" s="19">
        <f t="shared" si="3"/>
        <v>105.2</v>
      </c>
      <c r="H125" s="19">
        <f t="shared" ref="H125:I125" si="127">Round(D125,20)</f>
        <v>223.1</v>
      </c>
      <c r="I125" s="20">
        <f t="shared" si="127"/>
        <v>117.9</v>
      </c>
      <c r="J125" s="19">
        <f t="shared" si="5"/>
        <v>105.2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14"/>
    <col customWidth="1" min="3" max="3" width="19.71"/>
    <col customWidth="1" min="4" max="4" width="25.86"/>
    <col customWidth="1" min="5" max="5" width="29.57"/>
    <col customWidth="1" min="6" max="6" width="25.71"/>
    <col customWidth="1" min="7" max="7" width="27.0"/>
    <col customWidth="1" min="8" max="8" width="25.57"/>
    <col customWidth="1" min="9" max="9" width="26.71"/>
    <col customWidth="1" min="10" max="10" width="25.14"/>
    <col customWidth="1" min="11" max="11" width="23.43"/>
    <col customWidth="1" min="12" max="12" width="28.0"/>
    <col customWidth="1" min="13" max="13" width="32.43"/>
    <col customWidth="1" min="14" max="14" width="24.43"/>
    <col customWidth="1" min="15" max="15" width="28.86"/>
    <col customWidth="1" min="16" max="16" width="32.0"/>
    <col customWidth="1" min="17" max="17" width="43.29"/>
    <col customWidth="1" min="18" max="18" width="47.86"/>
    <col customWidth="1" min="19" max="19" width="44.71"/>
    <col customWidth="1" min="20" max="20" width="42.29"/>
    <col customWidth="1" min="21" max="21" width="64.29"/>
    <col customWidth="1" min="22" max="22" width="22.14"/>
    <col customWidth="1" min="23" max="23" width="38.86"/>
    <col customWidth="1" min="24" max="24" width="35.0"/>
  </cols>
  <sheetData>
    <row r="1">
      <c r="A1" s="21" t="s">
        <v>410</v>
      </c>
      <c r="B1" s="21" t="s">
        <v>150</v>
      </c>
      <c r="C1" s="21" t="s">
        <v>143</v>
      </c>
      <c r="D1" s="21" t="s">
        <v>153</v>
      </c>
      <c r="E1" s="21" t="s">
        <v>411</v>
      </c>
      <c r="F1" s="21" t="s">
        <v>412</v>
      </c>
      <c r="G1" s="21" t="s">
        <v>413</v>
      </c>
      <c r="H1" s="21" t="s">
        <v>414</v>
      </c>
      <c r="I1" s="21" t="s">
        <v>415</v>
      </c>
      <c r="J1" s="21" t="s">
        <v>416</v>
      </c>
      <c r="K1" s="21" t="s">
        <v>417</v>
      </c>
      <c r="L1" s="21" t="s">
        <v>418</v>
      </c>
      <c r="M1" s="21" t="s">
        <v>419</v>
      </c>
      <c r="N1" s="21" t="s">
        <v>420</v>
      </c>
      <c r="O1" s="21" t="s">
        <v>421</v>
      </c>
      <c r="P1" s="21" t="s">
        <v>422</v>
      </c>
      <c r="Q1" s="21" t="s">
        <v>423</v>
      </c>
      <c r="R1" s="21" t="s">
        <v>424</v>
      </c>
      <c r="S1" s="21" t="s">
        <v>425</v>
      </c>
      <c r="T1" s="21" t="s">
        <v>426</v>
      </c>
      <c r="U1" s="21" t="s">
        <v>427</v>
      </c>
      <c r="V1" s="21" t="s">
        <v>428</v>
      </c>
      <c r="W1" s="21" t="s">
        <v>429</v>
      </c>
      <c r="X1" s="21" t="s">
        <v>430</v>
      </c>
    </row>
    <row r="2">
      <c r="A2" s="22" t="s">
        <v>8</v>
      </c>
      <c r="B2" s="22" t="s">
        <v>155</v>
      </c>
      <c r="C2" s="23">
        <v>140604.0</v>
      </c>
      <c r="D2" s="22" t="s">
        <v>157</v>
      </c>
      <c r="E2" s="24">
        <f t="shared" ref="E2:E125" si="1">IFS(and(I2=0.5,K2="a"),L2,and(I2=1,K2="a"),(L2+M2),and(I2=1.5,K2="a"),(L2+(2*M2)),and(I2=2,K2="a"),(L2+(3*M2)),and(I2=2.5,K2="a"),(L2+(4*M2)),and(I2=3,K2="a"),(L2+(5*M2)),and(I2=3.5,K2="a"),(L2+(6*M2)),and(I2=4,K2="a"),(L2+(7*M2)),and(I2=4.5,K2="a"),(L2+(8*M2)),and(I2=5,K2="a"),(L2+(9*M2)),and(I2=0.5,K2="b"),L2,and(I2=1,K2="b"),(L2+M2),and(I2=1.5,K2="b"),(L2+(2*M2)),and(I2=2,K2="b"),(L2+(3*M2)),and(I2=2.5,K2="b"),(L2+(4*M2)),and(I2=3,K2="b"),(L2+(5*M2)),and(I2=3.5,K2="b"),(L2+(6*M2)),and(I2=4,K2="b"),(L2+(7*M2)),and(I2=4.5,K2="b"),(L2+(8*M2)),and(I2=5,K2="b"),(L2+(9*M2)),and(I2=0.5,K2="c"),L2,and(I2=1,K2="c"),(L2+M2),and(I2=1.5,K2="c"),(L2+(2*M2)),and(I2=2,K2="c"),(L2+(3*M2)),and(I2=2.5,K2="c"),(L2+(4*M2)),and(I2=3,K2="c"),(L2+(5*M2)),and(I2=3.5,K2="c"),(L2+(6*M2)),and(I2=4,K2="c"),(L2+(7*M2)),and(I2=4.5,K2="c"),(L2+(8*M2)),and(I2=5,K2="c"),(L2+(9*M2)),and(I2=0.5,K2="d"),L2,and(I2=1,K2="d"),(L2+M2),and(I2=1.5,K2="d"),(L2+(2*M2)),and(I2=2,K2="d"),(L2+(3*M2)),and(I2=2.5,K2="d"),(L2+(4*M2)),and(I2=3,K2="d"),(L2+(5*M2)),and(I2=3.5,K2="d"),(L2+(6*M2)),and(I2=4,K2="d"),(L2+(7*M2)),and(I2=4.5,K2="d"),(L2+(8*M2)),and(I2=5,K2="d"),(L2+(9*M2)),and(I2=0.5,K2="e"),L2,and(I2=1,K2="e"),(L2+M2),and(I2=1.5,K2="e"),(L2+(2*M2)),and(I2=2,K2="e"),(L2+(3*M2)),and(I2=2.5,K2="e"),(L2+(4*M2)),and(I2=3,K2="e"),(L2+(5*M2)),and(I2=3.5,K2="e"),(L2+(6*M2)),and(I2=4,K2="e"),(L2+(7*M2)),and(I2=4.5,K2="e"),(L2+(8*M2)),and(I2=5,K2="e"),(L2+(9*M2)))</f>
        <v>33</v>
      </c>
      <c r="F2" s="24">
        <f t="shared" ref="F2:F125" si="2">if(D2="Forward charges",0,(ifs(and(I2=0.5,K2="a"),N2,and(I2=1,K2="a"),(N2+O2),and(I2=1.5,K2="a"),(N2+(2*O2)),and(I2=2,K2="a"),(N2+(3*O2)),and(I2=2.5,K2="a"),(N2+(4*O2)),and(I2=3,K2="a"),(N2+(5*O2)),and(I2=3.5,K2="a"),(N2+(6*O2)),and(I2=4,K2="a"),(N2+(7*O2)),and(I2=4.5,K2="a"),(N2+(8*O2)),and(I2=5,K2="a"),(N2+(9*O2)),and(I2=0.5,K2="b"),N2,and(I2=1,K2="b"),(N2+O2),and(I2=1.5,K2="b"),(N2+(2*O2)),and(I2=2,K2="b"),(N2+(3*O2)),and(I2=2.5,K2="b"),(N2+(4*O2)),and(I2=3,K2="b"),(N2+(5*O2)),and(I2=3.5,K2="b"),(N2+(6*O2)),and(I2=4,K2="b"),(N2+(7*O2)),and(I2=4.5,K2="b"),(N2+(8*O2)),and(I2=5,K2="b"),(N2+(9*O2)),and(I2=0.5,K2="c"),N2,and(I2=1,K2="c"),(N2+O2),and(I2=1.5,K2="c"),(N2+(2*O2)),and(I2=2,K2="c"),(N2+(3*O2)),and(I2=2.5,K2="c"),(N2+(4*O2)),and(I2=3,K2="c"),(N2+(5*O2)),and(I2=3.5,K2="c"),(N2+(6*O2)),and(I2=4,K2="c"),(N2+(7*O2)),and(I2=4.5,K2="c"),(N2+(8*O2)),and(I2=5,K2="c"),(N2+(9*O2)),and(I2=0.5,K2="d"),N2,and(I2=1,K2="d"),(N2+O2),and(I2=1.5,K2="d"),(N2+(2*O2)),and(I2=2,K2="d"),(N2+(3*O2)),and(I2=2.5,K2="d"),(N2+(4*O2)),and(I2=3,K2="d"),(N2+(5*O2)),and(I2=3.5,K2="d"),(N2+(6*O2)),and(I2=4,K2="d"),(N2+(7*O2)),and(I2=4.5,K2="d"),(N2+(8*O2)),and(I2=5,K2="d"),(N2+(9*O2)),and(I2=0.5,K2="e"),N2,and(I2=1,K2="e"),(N2+O2),and(I2=1.5,K2="e"),(N2+(2*O2)),and(I2=2,K2="e"),(N2+(3*O2)),and(I2=2.5,K2="e"),(N2+(4*O2)),and(I2=3,K2="e"),(N2+(5*O2)),and(I2=3.5,K2="e"),(N2+(6*O2)),and(I2=4,K2="e"),(N2+(7*O2)),and(I2=4.5,K2="e"),(N2+(8*O2)),and(I2=5,K2="e"),(N2+(9*O2)))))</f>
        <v>0</v>
      </c>
      <c r="G2" s="23">
        <f t="shared" ref="G2:G125" si="3">(H2/1000)</f>
        <v>0.22</v>
      </c>
      <c r="H2" s="24">
        <f>VLOOKUP(A2,'Order Report(X)'!$H$1:$I$125,2,FALSE)</f>
        <v>220</v>
      </c>
      <c r="I2" s="24">
        <f t="shared" ref="I2:I125" si="4">IFS(AND(G2&gt;0,G2&lt;=0.5),0.5,AND(G2&gt;0.5,G2&lt;=1),1,AND(G2&gt;1,G2&lt;=1.5),1.5,AND(G2&gt;1.5,G2&lt;=2),2,AND(G2&gt;2,G2&lt;=2.5),2.5,AND(G2&gt;2.5,G2&lt;=3),3,AND(G2&gt;3,G2&lt;=3.5),3.5,AND(G2&gt;3.5,G2&lt;=4),4,AND(G2&gt;4,G2&lt;=4.5),4.5,AND(G2&gt;4.5,G2&lt;=5),5)</f>
        <v>0.5</v>
      </c>
      <c r="J2" s="24">
        <f t="shared" ref="J2:J125" si="5">(I2*1000)</f>
        <v>500</v>
      </c>
      <c r="K2" s="25" t="str">
        <f>vlookup(C2,'Pincode Zone (X)'!$G$1:$H$109,2,false)</f>
        <v>b</v>
      </c>
      <c r="L2" s="24">
        <f>ifs(K2="a",'Rates (Courier)'!$A$2,K2="b",'Rates (Courier)'!$C$2,K2="c",'Rates (Courier)'!$E$2,K2="d",'Rates (Courier)'!$G$2,K2="e",'Rates (Courier)'!$I$2)</f>
        <v>33</v>
      </c>
      <c r="M2" s="24">
        <f>ifs(K2="a",'Rates (Courier)'!$B$2,K2="b",'Rates (Courier)'!$D$2,K2="c",'Rates (Courier)'!$F$2,K2="d",'Rates (Courier)'!$H$2,K2="e",'Rates (Courier)'!$J$2)</f>
        <v>28.3</v>
      </c>
      <c r="N2" s="24">
        <f>ifs(K2="a",'Rates (Courier)'!$K$2,K2="b",'Rates (Courier)'!$M$2,K2="c",'Rates (Courier)'!$O$2,K2="d",'Rates (Courier)'!$Q$2,K2="e",'Rates (Courier)'!$S$2)</f>
        <v>20.5</v>
      </c>
      <c r="O2" s="24">
        <f>ifs(K2="a",'Rates (Courier)'!$L$2,K2="b",'Rates (Courier)'!$N$2,K2="c",'Rates (Courier)'!$P$2,K2="d",'Rates (Courier)'!$R$2,K2="e",'Rates (Courier)'!$T$2)</f>
        <v>28.3</v>
      </c>
      <c r="P2" s="26">
        <f t="shared" ref="P2:P125" si="6">ROUND((E2+F2),20)</f>
        <v>33</v>
      </c>
      <c r="Q2" s="23">
        <f>VLOOKUP(B2,'Invoice (Courier)'!$A$1:$C$125,3,FALSE)</f>
        <v>2.92</v>
      </c>
      <c r="R2" s="27">
        <f t="shared" ref="R2:R125" si="7">IFS(AND(Q2&gt;0,Q2&lt;=0.5),0.5,AND(Q2&gt;0.5,Q2&lt;=1),1,AND(Q2&gt;1,Q2&lt;=1.5),1.5,AND(Q2&gt;1.5,Q2&lt;=2),2,AND(Q2&gt;2,Q2&lt;=2.5),2.5,AND(Q2&gt;2.5,Q2&lt;=3),3,AND(Q2&gt;3,Q2&lt;=3.5),3.5,AND(Q2&gt;3.5,Q2&lt;=4),4,AND(Q2&gt;4,Q2&lt;=4.5),4.5,AND(Q2&gt;4.5,Q2&lt;=5),5)</f>
        <v>3</v>
      </c>
      <c r="S2" s="28" t="str">
        <f>VLOOKUP(B2,'Invoice (Courier)'!$A$1:$F$125,match('Invoice (Courier)'!$F$1,'Invoice (Courier)'!$A$1:$F$1,FALSE),FALSE)</f>
        <v>b</v>
      </c>
      <c r="T2" s="26">
        <f>ROUND((VLOOKUP(B2,'Invoice (Courier)'!$A$1:$H$125,match('Invoice (Courier)'!$H$1,'Invoice (Courier)'!$A$1:$H$1,FALSE),FALSE)),20)</f>
        <v>174.5</v>
      </c>
      <c r="U2" s="26">
        <f t="shared" ref="U2:U125" si="8">(P2-T2)</f>
        <v>-141.5</v>
      </c>
      <c r="V2" s="24">
        <f t="shared" ref="V2:V125" si="9">(100-((P2/T2)*100))</f>
        <v>81.08882521</v>
      </c>
      <c r="W2" s="24">
        <f t="shared" ref="W2:W125" si="10">(E2/G2)</f>
        <v>150</v>
      </c>
      <c r="X2" s="24">
        <f t="shared" ref="X2:X125" si="11">(F2/G2)</f>
        <v>0</v>
      </c>
    </row>
    <row r="3">
      <c r="A3" s="22" t="s">
        <v>9</v>
      </c>
      <c r="B3" s="22" t="s">
        <v>158</v>
      </c>
      <c r="C3" s="23">
        <v>723146.0</v>
      </c>
      <c r="D3" s="22" t="s">
        <v>157</v>
      </c>
      <c r="E3" s="24">
        <f t="shared" si="1"/>
        <v>45.4</v>
      </c>
      <c r="F3" s="24">
        <f t="shared" si="2"/>
        <v>0</v>
      </c>
      <c r="G3" s="23">
        <f t="shared" si="3"/>
        <v>0.48</v>
      </c>
      <c r="H3" s="24">
        <f>VLOOKUP(A3,'Order Report(X)'!$H$1:$I$125,2,FALSE)</f>
        <v>480</v>
      </c>
      <c r="I3" s="24">
        <f t="shared" si="4"/>
        <v>0.5</v>
      </c>
      <c r="J3" s="24">
        <f t="shared" si="5"/>
        <v>500</v>
      </c>
      <c r="K3" s="25" t="str">
        <f>vlookup(C3,'Pincode Zone (X)'!$G$1:$H$109,2,false)</f>
        <v>d</v>
      </c>
      <c r="L3" s="24">
        <f>ifs(K3="a",'Rates (Courier)'!$A$2,K3="b",'Rates (Courier)'!$C$2,K3="c",'Rates (Courier)'!$E$2,K3="d",'Rates (Courier)'!$G$2,K3="e",'Rates (Courier)'!$I$2)</f>
        <v>45.4</v>
      </c>
      <c r="M3" s="24">
        <f>ifs(K3="a",'Rates (Courier)'!$B$2,K3="b",'Rates (Courier)'!$D$2,K3="c",'Rates (Courier)'!$F$2,K3="d",'Rates (Courier)'!$H$2,K3="e",'Rates (Courier)'!$J$2)</f>
        <v>44.8</v>
      </c>
      <c r="N3" s="24">
        <f>ifs(K3="a",'Rates (Courier)'!$K$2,K3="b",'Rates (Courier)'!$M$2,K3="c",'Rates (Courier)'!$O$2,K3="d",'Rates (Courier)'!$Q$2,K3="e",'Rates (Courier)'!$S$2)</f>
        <v>41.3</v>
      </c>
      <c r="O3" s="24">
        <f>ifs(K3="a",'Rates (Courier)'!$L$2,K3="b",'Rates (Courier)'!$N$2,K3="c",'Rates (Courier)'!$P$2,K3="d",'Rates (Courier)'!$R$2,K3="e",'Rates (Courier)'!$T$2)</f>
        <v>44.8</v>
      </c>
      <c r="P3" s="26">
        <f t="shared" si="6"/>
        <v>45.4</v>
      </c>
      <c r="Q3" s="23">
        <f>VLOOKUP(B3,'Invoice (Courier)'!$A$1:$C$125,3,FALSE)</f>
        <v>0.68</v>
      </c>
      <c r="R3" s="27">
        <f t="shared" si="7"/>
        <v>1</v>
      </c>
      <c r="S3" s="28" t="str">
        <f>VLOOKUP(B3,'Invoice (Courier)'!$A$1:$F$125,match('Invoice (Courier)'!$F$1,'Invoice (Courier)'!$A$1:$F$1,FALSE),FALSE)</f>
        <v>d</v>
      </c>
      <c r="T3" s="26">
        <f>ROUND((VLOOKUP(B3,'Invoice (Courier)'!$A$1:$H$125,match('Invoice (Courier)'!$H$1,'Invoice (Courier)'!$A$1:$H$1,FALSE),FALSE)),20)</f>
        <v>90.2</v>
      </c>
      <c r="U3" s="26">
        <f t="shared" si="8"/>
        <v>-44.8</v>
      </c>
      <c r="V3" s="24">
        <f t="shared" si="9"/>
        <v>49.66740576</v>
      </c>
      <c r="W3" s="24">
        <f t="shared" si="10"/>
        <v>94.58333333</v>
      </c>
      <c r="X3" s="24">
        <f t="shared" si="11"/>
        <v>0</v>
      </c>
    </row>
    <row r="4">
      <c r="A4" s="22" t="s">
        <v>10</v>
      </c>
      <c r="B4" s="22" t="s">
        <v>160</v>
      </c>
      <c r="C4" s="23">
        <v>421204.0</v>
      </c>
      <c r="D4" s="22" t="s">
        <v>157</v>
      </c>
      <c r="E4" s="24">
        <f t="shared" si="1"/>
        <v>45.4</v>
      </c>
      <c r="F4" s="24">
        <f t="shared" si="2"/>
        <v>0</v>
      </c>
      <c r="G4" s="23">
        <f t="shared" si="3"/>
        <v>0.5</v>
      </c>
      <c r="H4" s="24">
        <f>VLOOKUP(A4,'Order Report(X)'!$H$1:$I$125,2,FALSE)</f>
        <v>500</v>
      </c>
      <c r="I4" s="24">
        <f t="shared" si="4"/>
        <v>0.5</v>
      </c>
      <c r="J4" s="24">
        <f t="shared" si="5"/>
        <v>500</v>
      </c>
      <c r="K4" s="25" t="str">
        <f>vlookup(C4,'Pincode Zone (X)'!$G$1:$H$109,2,false)</f>
        <v>d</v>
      </c>
      <c r="L4" s="24">
        <f>ifs(K4="a",'Rates (Courier)'!$A$2,K4="b",'Rates (Courier)'!$C$2,K4="c",'Rates (Courier)'!$E$2,K4="d",'Rates (Courier)'!$G$2,K4="e",'Rates (Courier)'!$I$2)</f>
        <v>45.4</v>
      </c>
      <c r="M4" s="24">
        <f>ifs(K4="a",'Rates (Courier)'!$B$2,K4="b",'Rates (Courier)'!$D$2,K4="c",'Rates (Courier)'!$F$2,K4="d",'Rates (Courier)'!$H$2,K4="e",'Rates (Courier)'!$J$2)</f>
        <v>44.8</v>
      </c>
      <c r="N4" s="24">
        <f>ifs(K4="a",'Rates (Courier)'!$K$2,K4="b",'Rates (Courier)'!$M$2,K4="c",'Rates (Courier)'!$O$2,K4="d",'Rates (Courier)'!$Q$2,K4="e",'Rates (Courier)'!$S$2)</f>
        <v>41.3</v>
      </c>
      <c r="O4" s="24">
        <f>ifs(K4="a",'Rates (Courier)'!$L$2,K4="b",'Rates (Courier)'!$N$2,K4="c",'Rates (Courier)'!$P$2,K4="d",'Rates (Courier)'!$R$2,K4="e",'Rates (Courier)'!$T$2)</f>
        <v>44.8</v>
      </c>
      <c r="P4" s="26">
        <f t="shared" si="6"/>
        <v>45.4</v>
      </c>
      <c r="Q4" s="23">
        <f>VLOOKUP(B4,'Invoice (Courier)'!$A$1:$C$125,3,FALSE)</f>
        <v>0.71</v>
      </c>
      <c r="R4" s="27">
        <f t="shared" si="7"/>
        <v>1</v>
      </c>
      <c r="S4" s="28" t="str">
        <f>VLOOKUP(B4,'Invoice (Courier)'!$A$1:$F$125,match('Invoice (Courier)'!$F$1,'Invoice (Courier)'!$A$1:$F$1,FALSE),FALSE)</f>
        <v>d</v>
      </c>
      <c r="T4" s="26">
        <f>ROUND((VLOOKUP(B4,'Invoice (Courier)'!$A$1:$H$125,match('Invoice (Courier)'!$H$1,'Invoice (Courier)'!$A$1:$H$1,FALSE),FALSE)),20)</f>
        <v>90.2</v>
      </c>
      <c r="U4" s="26">
        <f t="shared" si="8"/>
        <v>-44.8</v>
      </c>
      <c r="V4" s="24">
        <f t="shared" si="9"/>
        <v>49.66740576</v>
      </c>
      <c r="W4" s="24">
        <f t="shared" si="10"/>
        <v>90.8</v>
      </c>
      <c r="X4" s="24">
        <f t="shared" si="11"/>
        <v>0</v>
      </c>
    </row>
    <row r="5">
      <c r="A5" s="22" t="s">
        <v>11</v>
      </c>
      <c r="B5" s="22" t="s">
        <v>162</v>
      </c>
      <c r="C5" s="23">
        <v>507101.0</v>
      </c>
      <c r="D5" s="22" t="s">
        <v>157</v>
      </c>
      <c r="E5" s="24">
        <f t="shared" si="1"/>
        <v>135</v>
      </c>
      <c r="F5" s="24">
        <f t="shared" si="2"/>
        <v>0</v>
      </c>
      <c r="G5" s="23">
        <f t="shared" si="3"/>
        <v>1.302</v>
      </c>
      <c r="H5" s="24">
        <f>VLOOKUP(A5,'Order Report(X)'!$H$1:$I$125,2,FALSE)</f>
        <v>1302</v>
      </c>
      <c r="I5" s="24">
        <f t="shared" si="4"/>
        <v>1.5</v>
      </c>
      <c r="J5" s="24">
        <f t="shared" si="5"/>
        <v>1500</v>
      </c>
      <c r="K5" s="25" t="str">
        <f>vlookup(C5,'Pincode Zone (X)'!$G$1:$H$109,2,false)</f>
        <v>d</v>
      </c>
      <c r="L5" s="24">
        <f>ifs(K5="a",'Rates (Courier)'!$A$2,K5="b",'Rates (Courier)'!$C$2,K5="c",'Rates (Courier)'!$E$2,K5="d",'Rates (Courier)'!$G$2,K5="e",'Rates (Courier)'!$I$2)</f>
        <v>45.4</v>
      </c>
      <c r="M5" s="24">
        <f>ifs(K5="a",'Rates (Courier)'!$B$2,K5="b",'Rates (Courier)'!$D$2,K5="c",'Rates (Courier)'!$F$2,K5="d",'Rates (Courier)'!$H$2,K5="e",'Rates (Courier)'!$J$2)</f>
        <v>44.8</v>
      </c>
      <c r="N5" s="24">
        <f>ifs(K5="a",'Rates (Courier)'!$K$2,K5="b",'Rates (Courier)'!$M$2,K5="c",'Rates (Courier)'!$O$2,K5="d",'Rates (Courier)'!$Q$2,K5="e",'Rates (Courier)'!$S$2)</f>
        <v>41.3</v>
      </c>
      <c r="O5" s="24">
        <f>ifs(K5="a",'Rates (Courier)'!$L$2,K5="b",'Rates (Courier)'!$N$2,K5="c",'Rates (Courier)'!$P$2,K5="d",'Rates (Courier)'!$R$2,K5="e",'Rates (Courier)'!$T$2)</f>
        <v>44.8</v>
      </c>
      <c r="P5" s="26">
        <f t="shared" si="6"/>
        <v>135</v>
      </c>
      <c r="Q5" s="23">
        <f>VLOOKUP(B5,'Invoice (Courier)'!$A$1:$C$125,3,FALSE)</f>
        <v>1.3</v>
      </c>
      <c r="R5" s="27">
        <f t="shared" si="7"/>
        <v>1.5</v>
      </c>
      <c r="S5" s="28" t="str">
        <f>VLOOKUP(B5,'Invoice (Courier)'!$A$1:$F$125,match('Invoice (Courier)'!$F$1,'Invoice (Courier)'!$A$1:$F$1,FALSE),FALSE)</f>
        <v>d</v>
      </c>
      <c r="T5" s="26">
        <f>ROUND((VLOOKUP(B5,'Invoice (Courier)'!$A$1:$H$125,match('Invoice (Courier)'!$H$1,'Invoice (Courier)'!$A$1:$H$1,FALSE),FALSE)),20)</f>
        <v>135</v>
      </c>
      <c r="U5" s="26">
        <f t="shared" si="8"/>
        <v>0</v>
      </c>
      <c r="V5" s="24">
        <f t="shared" si="9"/>
        <v>0</v>
      </c>
      <c r="W5" s="24">
        <f t="shared" si="10"/>
        <v>103.6866359</v>
      </c>
      <c r="X5" s="24">
        <f t="shared" si="11"/>
        <v>0</v>
      </c>
    </row>
    <row r="6">
      <c r="A6" s="22" t="s">
        <v>12</v>
      </c>
      <c r="B6" s="22" t="s">
        <v>164</v>
      </c>
      <c r="C6" s="23">
        <v>263139.0</v>
      </c>
      <c r="D6" s="22" t="s">
        <v>157</v>
      </c>
      <c r="E6" s="24">
        <f t="shared" si="1"/>
        <v>33</v>
      </c>
      <c r="F6" s="24">
        <f t="shared" si="2"/>
        <v>0</v>
      </c>
      <c r="G6" s="23">
        <f t="shared" si="3"/>
        <v>0.245</v>
      </c>
      <c r="H6" s="24">
        <f>VLOOKUP(A6,'Order Report(X)'!$H$1:$I$125,2,FALSE)</f>
        <v>245</v>
      </c>
      <c r="I6" s="24">
        <f t="shared" si="4"/>
        <v>0.5</v>
      </c>
      <c r="J6" s="24">
        <f t="shared" si="5"/>
        <v>500</v>
      </c>
      <c r="K6" s="25" t="str">
        <f>vlookup(C6,'Pincode Zone (X)'!$G$1:$H$109,2,false)</f>
        <v>b</v>
      </c>
      <c r="L6" s="24">
        <f>ifs(K6="a",'Rates (Courier)'!$A$2,K6="b",'Rates (Courier)'!$C$2,K6="c",'Rates (Courier)'!$E$2,K6="d",'Rates (Courier)'!$G$2,K6="e",'Rates (Courier)'!$I$2)</f>
        <v>33</v>
      </c>
      <c r="M6" s="24">
        <f>ifs(K6="a",'Rates (Courier)'!$B$2,K6="b",'Rates (Courier)'!$D$2,K6="c",'Rates (Courier)'!$F$2,K6="d",'Rates (Courier)'!$H$2,K6="e",'Rates (Courier)'!$J$2)</f>
        <v>28.3</v>
      </c>
      <c r="N6" s="24">
        <f>ifs(K6="a",'Rates (Courier)'!$K$2,K6="b",'Rates (Courier)'!$M$2,K6="c",'Rates (Courier)'!$O$2,K6="d",'Rates (Courier)'!$Q$2,K6="e",'Rates (Courier)'!$S$2)</f>
        <v>20.5</v>
      </c>
      <c r="O6" s="24">
        <f>ifs(K6="a",'Rates (Courier)'!$L$2,K6="b",'Rates (Courier)'!$N$2,K6="c",'Rates (Courier)'!$P$2,K6="d",'Rates (Courier)'!$R$2,K6="e",'Rates (Courier)'!$T$2)</f>
        <v>28.3</v>
      </c>
      <c r="P6" s="26">
        <f t="shared" si="6"/>
        <v>33</v>
      </c>
      <c r="Q6" s="23">
        <f>VLOOKUP(B6,'Invoice (Courier)'!$A$1:$C$125,3,FALSE)</f>
        <v>0.78</v>
      </c>
      <c r="R6" s="27">
        <f t="shared" si="7"/>
        <v>1</v>
      </c>
      <c r="S6" s="28" t="str">
        <f>VLOOKUP(B6,'Invoice (Courier)'!$A$1:$F$125,match('Invoice (Courier)'!$F$1,'Invoice (Courier)'!$A$1:$F$1,FALSE),FALSE)</f>
        <v>b</v>
      </c>
      <c r="T6" s="26">
        <f>ROUND((VLOOKUP(B6,'Invoice (Courier)'!$A$1:$H$125,match('Invoice (Courier)'!$H$1,'Invoice (Courier)'!$A$1:$H$1,FALSE),FALSE)),20)</f>
        <v>61.3</v>
      </c>
      <c r="U6" s="26">
        <f t="shared" si="8"/>
        <v>-28.3</v>
      </c>
      <c r="V6" s="24">
        <f t="shared" si="9"/>
        <v>46.16639478</v>
      </c>
      <c r="W6" s="24">
        <f t="shared" si="10"/>
        <v>134.6938776</v>
      </c>
      <c r="X6" s="24">
        <f t="shared" si="11"/>
        <v>0</v>
      </c>
    </row>
    <row r="7">
      <c r="A7" s="22" t="s">
        <v>14</v>
      </c>
      <c r="B7" s="22" t="s">
        <v>166</v>
      </c>
      <c r="C7" s="23">
        <v>743263.0</v>
      </c>
      <c r="D7" s="22" t="s">
        <v>157</v>
      </c>
      <c r="E7" s="24">
        <f t="shared" si="1"/>
        <v>45.4</v>
      </c>
      <c r="F7" s="24">
        <f t="shared" si="2"/>
        <v>0</v>
      </c>
      <c r="G7" s="23">
        <f t="shared" si="3"/>
        <v>0.245</v>
      </c>
      <c r="H7" s="24">
        <f>VLOOKUP(A7,'Order Report(X)'!$H$1:$I$125,2,FALSE)</f>
        <v>245</v>
      </c>
      <c r="I7" s="24">
        <f t="shared" si="4"/>
        <v>0.5</v>
      </c>
      <c r="J7" s="24">
        <f t="shared" si="5"/>
        <v>500</v>
      </c>
      <c r="K7" s="25" t="str">
        <f>vlookup(C7,'Pincode Zone (X)'!$G$1:$H$109,2,false)</f>
        <v>d</v>
      </c>
      <c r="L7" s="24">
        <f>ifs(K7="a",'Rates (Courier)'!$A$2,K7="b",'Rates (Courier)'!$C$2,K7="c",'Rates (Courier)'!$E$2,K7="d",'Rates (Courier)'!$G$2,K7="e",'Rates (Courier)'!$I$2)</f>
        <v>45.4</v>
      </c>
      <c r="M7" s="24">
        <f>ifs(K7="a",'Rates (Courier)'!$B$2,K7="b",'Rates (Courier)'!$D$2,K7="c",'Rates (Courier)'!$F$2,K7="d",'Rates (Courier)'!$H$2,K7="e",'Rates (Courier)'!$J$2)</f>
        <v>44.8</v>
      </c>
      <c r="N7" s="24">
        <f>ifs(K7="a",'Rates (Courier)'!$K$2,K7="b",'Rates (Courier)'!$M$2,K7="c",'Rates (Courier)'!$O$2,K7="d",'Rates (Courier)'!$Q$2,K7="e",'Rates (Courier)'!$S$2)</f>
        <v>41.3</v>
      </c>
      <c r="O7" s="24">
        <f>ifs(K7="a",'Rates (Courier)'!$L$2,K7="b",'Rates (Courier)'!$N$2,K7="c",'Rates (Courier)'!$P$2,K7="d",'Rates (Courier)'!$R$2,K7="e",'Rates (Courier)'!$T$2)</f>
        <v>44.8</v>
      </c>
      <c r="P7" s="26">
        <f t="shared" si="6"/>
        <v>45.4</v>
      </c>
      <c r="Q7" s="23">
        <f>VLOOKUP(B7,'Invoice (Courier)'!$A$1:$C$125,3,FALSE)</f>
        <v>1.27</v>
      </c>
      <c r="R7" s="27">
        <f t="shared" si="7"/>
        <v>1.5</v>
      </c>
      <c r="S7" s="28" t="str">
        <f>VLOOKUP(B7,'Invoice (Courier)'!$A$1:$F$125,match('Invoice (Courier)'!$F$1,'Invoice (Courier)'!$A$1:$F$1,FALSE),FALSE)</f>
        <v>d</v>
      </c>
      <c r="T7" s="26">
        <f>ROUND((VLOOKUP(B7,'Invoice (Courier)'!$A$1:$H$125,match('Invoice (Courier)'!$H$1,'Invoice (Courier)'!$A$1:$H$1,FALSE),FALSE)),20)</f>
        <v>135</v>
      </c>
      <c r="U7" s="26">
        <f t="shared" si="8"/>
        <v>-89.6</v>
      </c>
      <c r="V7" s="24">
        <f t="shared" si="9"/>
        <v>66.37037037</v>
      </c>
      <c r="W7" s="24">
        <f t="shared" si="10"/>
        <v>185.3061224</v>
      </c>
      <c r="X7" s="24">
        <f t="shared" si="11"/>
        <v>0</v>
      </c>
    </row>
    <row r="8">
      <c r="A8" s="22" t="s">
        <v>16</v>
      </c>
      <c r="B8" s="22" t="s">
        <v>168</v>
      </c>
      <c r="C8" s="23">
        <v>486886.0</v>
      </c>
      <c r="D8" s="22" t="s">
        <v>157</v>
      </c>
      <c r="E8" s="24">
        <f t="shared" si="1"/>
        <v>90.2</v>
      </c>
      <c r="F8" s="24">
        <f t="shared" si="2"/>
        <v>0</v>
      </c>
      <c r="G8" s="23">
        <f t="shared" si="3"/>
        <v>0.615</v>
      </c>
      <c r="H8" s="24">
        <f>VLOOKUP(A8,'Order Report(X)'!$H$1:$I$125,2,FALSE)</f>
        <v>615</v>
      </c>
      <c r="I8" s="24">
        <f t="shared" si="4"/>
        <v>1</v>
      </c>
      <c r="J8" s="24">
        <f t="shared" si="5"/>
        <v>1000</v>
      </c>
      <c r="K8" s="25" t="str">
        <f>vlookup(C8,'Pincode Zone (X)'!$G$1:$H$109,2,false)</f>
        <v>d</v>
      </c>
      <c r="L8" s="24">
        <f>ifs(K8="a",'Rates (Courier)'!$A$2,K8="b",'Rates (Courier)'!$C$2,K8="c",'Rates (Courier)'!$E$2,K8="d",'Rates (Courier)'!$G$2,K8="e",'Rates (Courier)'!$I$2)</f>
        <v>45.4</v>
      </c>
      <c r="M8" s="24">
        <f>ifs(K8="a",'Rates (Courier)'!$B$2,K8="b",'Rates (Courier)'!$D$2,K8="c",'Rates (Courier)'!$F$2,K8="d",'Rates (Courier)'!$H$2,K8="e",'Rates (Courier)'!$J$2)</f>
        <v>44.8</v>
      </c>
      <c r="N8" s="24">
        <f>ifs(K8="a",'Rates (Courier)'!$K$2,K8="b",'Rates (Courier)'!$M$2,K8="c",'Rates (Courier)'!$O$2,K8="d",'Rates (Courier)'!$Q$2,K8="e",'Rates (Courier)'!$S$2)</f>
        <v>41.3</v>
      </c>
      <c r="O8" s="24">
        <f>ifs(K8="a",'Rates (Courier)'!$L$2,K8="b",'Rates (Courier)'!$N$2,K8="c",'Rates (Courier)'!$P$2,K8="d",'Rates (Courier)'!$R$2,K8="e",'Rates (Courier)'!$T$2)</f>
        <v>44.8</v>
      </c>
      <c r="P8" s="26">
        <f t="shared" si="6"/>
        <v>90.2</v>
      </c>
      <c r="Q8" s="23">
        <f>VLOOKUP(B8,'Invoice (Courier)'!$A$1:$C$125,3,FALSE)</f>
        <v>1</v>
      </c>
      <c r="R8" s="27">
        <f t="shared" si="7"/>
        <v>1</v>
      </c>
      <c r="S8" s="28" t="str">
        <f>VLOOKUP(B8,'Invoice (Courier)'!$A$1:$F$125,match('Invoice (Courier)'!$F$1,'Invoice (Courier)'!$A$1:$F$1,FALSE),FALSE)</f>
        <v>d</v>
      </c>
      <c r="T8" s="26">
        <f>ROUND((VLOOKUP(B8,'Invoice (Courier)'!$A$1:$H$125,match('Invoice (Courier)'!$H$1,'Invoice (Courier)'!$A$1:$H$1,FALSE),FALSE)),20)</f>
        <v>90.2</v>
      </c>
      <c r="U8" s="26">
        <f t="shared" si="8"/>
        <v>0</v>
      </c>
      <c r="V8" s="24">
        <f t="shared" si="9"/>
        <v>0</v>
      </c>
      <c r="W8" s="24">
        <f t="shared" si="10"/>
        <v>146.6666667</v>
      </c>
      <c r="X8" s="24">
        <f t="shared" si="11"/>
        <v>0</v>
      </c>
    </row>
    <row r="9">
      <c r="A9" s="22" t="s">
        <v>18</v>
      </c>
      <c r="B9" s="22" t="s">
        <v>170</v>
      </c>
      <c r="C9" s="23">
        <v>302017.0</v>
      </c>
      <c r="D9" s="22" t="s">
        <v>157</v>
      </c>
      <c r="E9" s="24">
        <f t="shared" si="1"/>
        <v>33</v>
      </c>
      <c r="F9" s="24">
        <f t="shared" si="2"/>
        <v>0</v>
      </c>
      <c r="G9" s="23">
        <f t="shared" si="3"/>
        <v>0.5</v>
      </c>
      <c r="H9" s="24">
        <f>VLOOKUP(A9,'Order Report(X)'!$H$1:$I$125,2,FALSE)</f>
        <v>500</v>
      </c>
      <c r="I9" s="24">
        <f t="shared" si="4"/>
        <v>0.5</v>
      </c>
      <c r="J9" s="24">
        <f t="shared" si="5"/>
        <v>500</v>
      </c>
      <c r="K9" s="25" t="str">
        <f>vlookup(C9,'Pincode Zone (X)'!$G$1:$H$109,2,false)</f>
        <v>b</v>
      </c>
      <c r="L9" s="24">
        <f>ifs(K9="a",'Rates (Courier)'!$A$2,K9="b",'Rates (Courier)'!$C$2,K9="c",'Rates (Courier)'!$E$2,K9="d",'Rates (Courier)'!$G$2,K9="e",'Rates (Courier)'!$I$2)</f>
        <v>33</v>
      </c>
      <c r="M9" s="24">
        <f>ifs(K9="a",'Rates (Courier)'!$B$2,K9="b",'Rates (Courier)'!$D$2,K9="c",'Rates (Courier)'!$F$2,K9="d",'Rates (Courier)'!$H$2,K9="e",'Rates (Courier)'!$J$2)</f>
        <v>28.3</v>
      </c>
      <c r="N9" s="24">
        <f>ifs(K9="a",'Rates (Courier)'!$K$2,K9="b",'Rates (Courier)'!$M$2,K9="c",'Rates (Courier)'!$O$2,K9="d",'Rates (Courier)'!$Q$2,K9="e",'Rates (Courier)'!$S$2)</f>
        <v>20.5</v>
      </c>
      <c r="O9" s="24">
        <f>ifs(K9="a",'Rates (Courier)'!$L$2,K9="b",'Rates (Courier)'!$N$2,K9="c",'Rates (Courier)'!$P$2,K9="d",'Rates (Courier)'!$R$2,K9="e",'Rates (Courier)'!$T$2)</f>
        <v>28.3</v>
      </c>
      <c r="P9" s="26">
        <f t="shared" si="6"/>
        <v>33</v>
      </c>
      <c r="Q9" s="23">
        <f>VLOOKUP(B9,'Invoice (Courier)'!$A$1:$C$125,3,FALSE)</f>
        <v>0.71</v>
      </c>
      <c r="R9" s="27">
        <f t="shared" si="7"/>
        <v>1</v>
      </c>
      <c r="S9" s="28" t="str">
        <f>VLOOKUP(B9,'Invoice (Courier)'!$A$1:$F$125,match('Invoice (Courier)'!$F$1,'Invoice (Courier)'!$A$1:$F$1,FALSE),FALSE)</f>
        <v>d</v>
      </c>
      <c r="T9" s="26">
        <f>ROUND((VLOOKUP(B9,'Invoice (Courier)'!$A$1:$H$125,match('Invoice (Courier)'!$H$1,'Invoice (Courier)'!$A$1:$H$1,FALSE),FALSE)),20)</f>
        <v>90.2</v>
      </c>
      <c r="U9" s="26">
        <f t="shared" si="8"/>
        <v>-57.2</v>
      </c>
      <c r="V9" s="24">
        <f t="shared" si="9"/>
        <v>63.41463415</v>
      </c>
      <c r="W9" s="24">
        <f t="shared" si="10"/>
        <v>66</v>
      </c>
      <c r="X9" s="24">
        <f t="shared" si="11"/>
        <v>0</v>
      </c>
    </row>
    <row r="10">
      <c r="A10" s="22" t="s">
        <v>21</v>
      </c>
      <c r="B10" s="22" t="s">
        <v>172</v>
      </c>
      <c r="C10" s="23">
        <v>392150.0</v>
      </c>
      <c r="D10" s="22" t="s">
        <v>157</v>
      </c>
      <c r="E10" s="24">
        <f t="shared" si="1"/>
        <v>45.4</v>
      </c>
      <c r="F10" s="24">
        <f t="shared" si="2"/>
        <v>0</v>
      </c>
      <c r="G10" s="23">
        <f t="shared" si="3"/>
        <v>0.5</v>
      </c>
      <c r="H10" s="24">
        <f>VLOOKUP(A10,'Order Report(X)'!$H$1:$I$125,2,FALSE)</f>
        <v>500</v>
      </c>
      <c r="I10" s="24">
        <f t="shared" si="4"/>
        <v>0.5</v>
      </c>
      <c r="J10" s="24">
        <f t="shared" si="5"/>
        <v>500</v>
      </c>
      <c r="K10" s="25" t="str">
        <f>vlookup(C10,'Pincode Zone (X)'!$G$1:$H$109,2,false)</f>
        <v>d</v>
      </c>
      <c r="L10" s="24">
        <f>ifs(K10="a",'Rates (Courier)'!$A$2,K10="b",'Rates (Courier)'!$C$2,K10="c",'Rates (Courier)'!$E$2,K10="d",'Rates (Courier)'!$G$2,K10="e",'Rates (Courier)'!$I$2)</f>
        <v>45.4</v>
      </c>
      <c r="M10" s="24">
        <f>ifs(K10="a",'Rates (Courier)'!$B$2,K10="b",'Rates (Courier)'!$D$2,K10="c",'Rates (Courier)'!$F$2,K10="d",'Rates (Courier)'!$H$2,K10="e",'Rates (Courier)'!$J$2)</f>
        <v>44.8</v>
      </c>
      <c r="N10" s="24">
        <f>ifs(K10="a",'Rates (Courier)'!$K$2,K10="b",'Rates (Courier)'!$M$2,K10="c",'Rates (Courier)'!$O$2,K10="d",'Rates (Courier)'!$Q$2,K10="e",'Rates (Courier)'!$S$2)</f>
        <v>41.3</v>
      </c>
      <c r="O10" s="24">
        <f>ifs(K10="a",'Rates (Courier)'!$L$2,K10="b",'Rates (Courier)'!$N$2,K10="c",'Rates (Courier)'!$P$2,K10="d",'Rates (Courier)'!$R$2,K10="e",'Rates (Courier)'!$T$2)</f>
        <v>44.8</v>
      </c>
      <c r="P10" s="26">
        <f t="shared" si="6"/>
        <v>45.4</v>
      </c>
      <c r="Q10" s="23">
        <f>VLOOKUP(B10,'Invoice (Courier)'!$A$1:$C$125,3,FALSE)</f>
        <v>0.7</v>
      </c>
      <c r="R10" s="27">
        <f t="shared" si="7"/>
        <v>1</v>
      </c>
      <c r="S10" s="28" t="str">
        <f>VLOOKUP(B10,'Invoice (Courier)'!$A$1:$F$125,match('Invoice (Courier)'!$F$1,'Invoice (Courier)'!$A$1:$F$1,FALSE),FALSE)</f>
        <v>d</v>
      </c>
      <c r="T10" s="26">
        <f>ROUND((VLOOKUP(B10,'Invoice (Courier)'!$A$1:$H$125,match('Invoice (Courier)'!$H$1,'Invoice (Courier)'!$A$1:$H$1,FALSE),FALSE)),20)</f>
        <v>90.2</v>
      </c>
      <c r="U10" s="26">
        <f t="shared" si="8"/>
        <v>-44.8</v>
      </c>
      <c r="V10" s="24">
        <f t="shared" si="9"/>
        <v>49.66740576</v>
      </c>
      <c r="W10" s="24">
        <f t="shared" si="10"/>
        <v>90.8</v>
      </c>
      <c r="X10" s="24">
        <f t="shared" si="11"/>
        <v>0</v>
      </c>
    </row>
    <row r="11">
      <c r="A11" s="22" t="s">
        <v>22</v>
      </c>
      <c r="B11" s="22" t="s">
        <v>174</v>
      </c>
      <c r="C11" s="23">
        <v>532484.0</v>
      </c>
      <c r="D11" s="22" t="s">
        <v>157</v>
      </c>
      <c r="E11" s="24">
        <f t="shared" si="1"/>
        <v>224.6</v>
      </c>
      <c r="F11" s="24">
        <f t="shared" si="2"/>
        <v>0</v>
      </c>
      <c r="G11" s="23">
        <f t="shared" si="3"/>
        <v>2.265</v>
      </c>
      <c r="H11" s="24">
        <f>VLOOKUP(A11,'Order Report(X)'!$H$1:$I$125,2,FALSE)</f>
        <v>2265</v>
      </c>
      <c r="I11" s="24">
        <f t="shared" si="4"/>
        <v>2.5</v>
      </c>
      <c r="J11" s="24">
        <f t="shared" si="5"/>
        <v>2500</v>
      </c>
      <c r="K11" s="25" t="str">
        <f>vlookup(C11,'Pincode Zone (X)'!$G$1:$H$109,2,false)</f>
        <v>d</v>
      </c>
      <c r="L11" s="24">
        <f>ifs(K11="a",'Rates (Courier)'!$A$2,K11="b",'Rates (Courier)'!$C$2,K11="c",'Rates (Courier)'!$E$2,K11="d",'Rates (Courier)'!$G$2,K11="e",'Rates (Courier)'!$I$2)</f>
        <v>45.4</v>
      </c>
      <c r="M11" s="24">
        <f>ifs(K11="a",'Rates (Courier)'!$B$2,K11="b",'Rates (Courier)'!$D$2,K11="c",'Rates (Courier)'!$F$2,K11="d",'Rates (Courier)'!$H$2,K11="e",'Rates (Courier)'!$J$2)</f>
        <v>44.8</v>
      </c>
      <c r="N11" s="24">
        <f>ifs(K11="a",'Rates (Courier)'!$K$2,K11="b",'Rates (Courier)'!$M$2,K11="c",'Rates (Courier)'!$O$2,K11="d",'Rates (Courier)'!$Q$2,K11="e",'Rates (Courier)'!$S$2)</f>
        <v>41.3</v>
      </c>
      <c r="O11" s="24">
        <f>ifs(K11="a",'Rates (Courier)'!$L$2,K11="b",'Rates (Courier)'!$N$2,K11="c",'Rates (Courier)'!$P$2,K11="d",'Rates (Courier)'!$R$2,K11="e",'Rates (Courier)'!$T$2)</f>
        <v>44.8</v>
      </c>
      <c r="P11" s="26">
        <f t="shared" si="6"/>
        <v>224.6</v>
      </c>
      <c r="Q11" s="23">
        <f>VLOOKUP(B11,'Invoice (Courier)'!$A$1:$C$125,3,FALSE)</f>
        <v>2.5</v>
      </c>
      <c r="R11" s="27">
        <f t="shared" si="7"/>
        <v>2.5</v>
      </c>
      <c r="S11" s="28" t="str">
        <f>VLOOKUP(B11,'Invoice (Courier)'!$A$1:$F$125,match('Invoice (Courier)'!$F$1,'Invoice (Courier)'!$A$1:$F$1,FALSE),FALSE)</f>
        <v>d</v>
      </c>
      <c r="T11" s="26">
        <f>ROUND((VLOOKUP(B11,'Invoice (Courier)'!$A$1:$H$125,match('Invoice (Courier)'!$H$1,'Invoice (Courier)'!$A$1:$H$1,FALSE),FALSE)),20)</f>
        <v>224.6</v>
      </c>
      <c r="U11" s="26">
        <f t="shared" si="8"/>
        <v>0</v>
      </c>
      <c r="V11" s="24">
        <f t="shared" si="9"/>
        <v>0</v>
      </c>
      <c r="W11" s="24">
        <f t="shared" si="10"/>
        <v>99.1611479</v>
      </c>
      <c r="X11" s="24">
        <f t="shared" si="11"/>
        <v>0</v>
      </c>
    </row>
    <row r="12">
      <c r="A12" s="22" t="s">
        <v>24</v>
      </c>
      <c r="B12" s="22" t="s">
        <v>176</v>
      </c>
      <c r="C12" s="23">
        <v>382830.0</v>
      </c>
      <c r="D12" s="22" t="s">
        <v>157</v>
      </c>
      <c r="E12" s="24">
        <f t="shared" si="1"/>
        <v>45.4</v>
      </c>
      <c r="F12" s="24">
        <f t="shared" si="2"/>
        <v>0</v>
      </c>
      <c r="G12" s="23">
        <f t="shared" si="3"/>
        <v>0.5</v>
      </c>
      <c r="H12" s="24">
        <f>VLOOKUP(A12,'Order Report(X)'!$H$1:$I$125,2,FALSE)</f>
        <v>500</v>
      </c>
      <c r="I12" s="24">
        <f t="shared" si="4"/>
        <v>0.5</v>
      </c>
      <c r="J12" s="24">
        <f t="shared" si="5"/>
        <v>500</v>
      </c>
      <c r="K12" s="25" t="str">
        <f>vlookup(C12,'Pincode Zone (X)'!$G$1:$H$109,2,false)</f>
        <v>d</v>
      </c>
      <c r="L12" s="24">
        <f>ifs(K12="a",'Rates (Courier)'!$A$2,K12="b",'Rates (Courier)'!$C$2,K12="c",'Rates (Courier)'!$E$2,K12="d",'Rates (Courier)'!$G$2,K12="e",'Rates (Courier)'!$I$2)</f>
        <v>45.4</v>
      </c>
      <c r="M12" s="24">
        <f>ifs(K12="a",'Rates (Courier)'!$B$2,K12="b",'Rates (Courier)'!$D$2,K12="c",'Rates (Courier)'!$F$2,K12="d",'Rates (Courier)'!$H$2,K12="e",'Rates (Courier)'!$J$2)</f>
        <v>44.8</v>
      </c>
      <c r="N12" s="24">
        <f>ifs(K12="a",'Rates (Courier)'!$K$2,K12="b",'Rates (Courier)'!$M$2,K12="c",'Rates (Courier)'!$O$2,K12="d",'Rates (Courier)'!$Q$2,K12="e",'Rates (Courier)'!$S$2)</f>
        <v>41.3</v>
      </c>
      <c r="O12" s="24">
        <f>ifs(K12="a",'Rates (Courier)'!$L$2,K12="b",'Rates (Courier)'!$N$2,K12="c",'Rates (Courier)'!$P$2,K12="d",'Rates (Courier)'!$R$2,K12="e",'Rates (Courier)'!$T$2)</f>
        <v>44.8</v>
      </c>
      <c r="P12" s="26">
        <f t="shared" si="6"/>
        <v>45.4</v>
      </c>
      <c r="Q12" s="23">
        <f>VLOOKUP(B12,'Invoice (Courier)'!$A$1:$C$125,3,FALSE)</f>
        <v>0.69</v>
      </c>
      <c r="R12" s="27">
        <f t="shared" si="7"/>
        <v>1</v>
      </c>
      <c r="S12" s="28" t="str">
        <f>VLOOKUP(B12,'Invoice (Courier)'!$A$1:$F$125,match('Invoice (Courier)'!$F$1,'Invoice (Courier)'!$A$1:$F$1,FALSE),FALSE)</f>
        <v>d</v>
      </c>
      <c r="T12" s="26">
        <f>ROUND((VLOOKUP(B12,'Invoice (Courier)'!$A$1:$H$125,match('Invoice (Courier)'!$H$1,'Invoice (Courier)'!$A$1:$H$1,FALSE),FALSE)),20)</f>
        <v>90.2</v>
      </c>
      <c r="U12" s="26">
        <f t="shared" si="8"/>
        <v>-44.8</v>
      </c>
      <c r="V12" s="24">
        <f t="shared" si="9"/>
        <v>49.66740576</v>
      </c>
      <c r="W12" s="24">
        <f t="shared" si="10"/>
        <v>90.8</v>
      </c>
      <c r="X12" s="24">
        <f t="shared" si="11"/>
        <v>0</v>
      </c>
    </row>
    <row r="13">
      <c r="A13" s="22" t="s">
        <v>25</v>
      </c>
      <c r="B13" s="22" t="s">
        <v>178</v>
      </c>
      <c r="C13" s="23">
        <v>143001.0</v>
      </c>
      <c r="D13" s="22" t="s">
        <v>157</v>
      </c>
      <c r="E13" s="24">
        <f t="shared" si="1"/>
        <v>61.3</v>
      </c>
      <c r="F13" s="24">
        <f t="shared" si="2"/>
        <v>0</v>
      </c>
      <c r="G13" s="23">
        <f t="shared" si="3"/>
        <v>0.7</v>
      </c>
      <c r="H13" s="24">
        <f>VLOOKUP(A13,'Order Report(X)'!$H$1:$I$125,2,FALSE)</f>
        <v>700</v>
      </c>
      <c r="I13" s="24">
        <f t="shared" si="4"/>
        <v>1</v>
      </c>
      <c r="J13" s="24">
        <f t="shared" si="5"/>
        <v>1000</v>
      </c>
      <c r="K13" s="25" t="str">
        <f>vlookup(C13,'Pincode Zone (X)'!$G$1:$H$109,2,false)</f>
        <v>b</v>
      </c>
      <c r="L13" s="24">
        <f>ifs(K13="a",'Rates (Courier)'!$A$2,K13="b",'Rates (Courier)'!$C$2,K13="c",'Rates (Courier)'!$E$2,K13="d",'Rates (Courier)'!$G$2,K13="e",'Rates (Courier)'!$I$2)</f>
        <v>33</v>
      </c>
      <c r="M13" s="24">
        <f>ifs(K13="a",'Rates (Courier)'!$B$2,K13="b",'Rates (Courier)'!$D$2,K13="c",'Rates (Courier)'!$F$2,K13="d",'Rates (Courier)'!$H$2,K13="e",'Rates (Courier)'!$J$2)</f>
        <v>28.3</v>
      </c>
      <c r="N13" s="24">
        <f>ifs(K13="a",'Rates (Courier)'!$K$2,K13="b",'Rates (Courier)'!$M$2,K13="c",'Rates (Courier)'!$O$2,K13="d",'Rates (Courier)'!$Q$2,K13="e",'Rates (Courier)'!$S$2)</f>
        <v>20.5</v>
      </c>
      <c r="O13" s="24">
        <f>ifs(K13="a",'Rates (Courier)'!$L$2,K13="b",'Rates (Courier)'!$N$2,K13="c",'Rates (Courier)'!$P$2,K13="d",'Rates (Courier)'!$R$2,K13="e",'Rates (Courier)'!$T$2)</f>
        <v>28.3</v>
      </c>
      <c r="P13" s="26">
        <f t="shared" si="6"/>
        <v>61.3</v>
      </c>
      <c r="Q13" s="23">
        <f>VLOOKUP(B13,'Invoice (Courier)'!$A$1:$C$125,3,FALSE)</f>
        <v>1</v>
      </c>
      <c r="R13" s="27">
        <f t="shared" si="7"/>
        <v>1</v>
      </c>
      <c r="S13" s="28" t="str">
        <f>VLOOKUP(B13,'Invoice (Courier)'!$A$1:$F$125,match('Invoice (Courier)'!$F$1,'Invoice (Courier)'!$A$1:$F$1,FALSE),FALSE)</f>
        <v>b</v>
      </c>
      <c r="T13" s="26">
        <f>ROUND((VLOOKUP(B13,'Invoice (Courier)'!$A$1:$H$125,match('Invoice (Courier)'!$H$1,'Invoice (Courier)'!$A$1:$H$1,FALSE),FALSE)),20)</f>
        <v>61.3</v>
      </c>
      <c r="U13" s="26">
        <f t="shared" si="8"/>
        <v>0</v>
      </c>
      <c r="V13" s="24">
        <f t="shared" si="9"/>
        <v>0</v>
      </c>
      <c r="W13" s="24">
        <f t="shared" si="10"/>
        <v>87.57142857</v>
      </c>
      <c r="X13" s="24">
        <f t="shared" si="11"/>
        <v>0</v>
      </c>
    </row>
    <row r="14">
      <c r="A14" s="22" t="s">
        <v>26</v>
      </c>
      <c r="B14" s="22" t="s">
        <v>180</v>
      </c>
      <c r="C14" s="23">
        <v>313027.0</v>
      </c>
      <c r="D14" s="22" t="s">
        <v>157</v>
      </c>
      <c r="E14" s="24">
        <f t="shared" si="1"/>
        <v>117.9</v>
      </c>
      <c r="F14" s="24">
        <f t="shared" si="2"/>
        <v>0</v>
      </c>
      <c r="G14" s="23">
        <f t="shared" si="3"/>
        <v>1.621</v>
      </c>
      <c r="H14" s="24">
        <f>VLOOKUP(A14,'Order Report(X)'!$H$1:$I$125,2,FALSE)</f>
        <v>1621</v>
      </c>
      <c r="I14" s="24">
        <f t="shared" si="4"/>
        <v>2</v>
      </c>
      <c r="J14" s="24">
        <f t="shared" si="5"/>
        <v>2000</v>
      </c>
      <c r="K14" s="25" t="str">
        <f>vlookup(C14,'Pincode Zone (X)'!$G$1:$H$109,2,false)</f>
        <v>b</v>
      </c>
      <c r="L14" s="24">
        <f>ifs(K14="a",'Rates (Courier)'!$A$2,K14="b",'Rates (Courier)'!$C$2,K14="c",'Rates (Courier)'!$E$2,K14="d",'Rates (Courier)'!$G$2,K14="e",'Rates (Courier)'!$I$2)</f>
        <v>33</v>
      </c>
      <c r="M14" s="24">
        <f>ifs(K14="a",'Rates (Courier)'!$B$2,K14="b",'Rates (Courier)'!$D$2,K14="c",'Rates (Courier)'!$F$2,K14="d",'Rates (Courier)'!$H$2,K14="e",'Rates (Courier)'!$J$2)</f>
        <v>28.3</v>
      </c>
      <c r="N14" s="24">
        <f>ifs(K14="a",'Rates (Courier)'!$K$2,K14="b",'Rates (Courier)'!$M$2,K14="c",'Rates (Courier)'!$O$2,K14="d",'Rates (Courier)'!$Q$2,K14="e",'Rates (Courier)'!$S$2)</f>
        <v>20.5</v>
      </c>
      <c r="O14" s="24">
        <f>ifs(K14="a",'Rates (Courier)'!$L$2,K14="b",'Rates (Courier)'!$N$2,K14="c",'Rates (Courier)'!$P$2,K14="d",'Rates (Courier)'!$R$2,K14="e",'Rates (Courier)'!$T$2)</f>
        <v>28.3</v>
      </c>
      <c r="P14" s="26">
        <f t="shared" si="6"/>
        <v>117.9</v>
      </c>
      <c r="Q14" s="23">
        <f>VLOOKUP(B14,'Invoice (Courier)'!$A$1:$C$125,3,FALSE)</f>
        <v>1.7</v>
      </c>
      <c r="R14" s="27">
        <f t="shared" si="7"/>
        <v>2</v>
      </c>
      <c r="S14" s="28" t="str">
        <f>VLOOKUP(B14,'Invoice (Courier)'!$A$1:$F$125,match('Invoice (Courier)'!$F$1,'Invoice (Courier)'!$A$1:$F$1,FALSE),FALSE)</f>
        <v>d</v>
      </c>
      <c r="T14" s="26">
        <f>ROUND((VLOOKUP(B14,'Invoice (Courier)'!$A$1:$H$125,match('Invoice (Courier)'!$H$1,'Invoice (Courier)'!$A$1:$H$1,FALSE),FALSE)),20)</f>
        <v>179.8</v>
      </c>
      <c r="U14" s="26">
        <f t="shared" si="8"/>
        <v>-61.9</v>
      </c>
      <c r="V14" s="24">
        <f t="shared" si="9"/>
        <v>34.42714127</v>
      </c>
      <c r="W14" s="24">
        <f t="shared" si="10"/>
        <v>72.73288094</v>
      </c>
      <c r="X14" s="24">
        <f t="shared" si="11"/>
        <v>0</v>
      </c>
    </row>
    <row r="15">
      <c r="A15" s="22" t="s">
        <v>28</v>
      </c>
      <c r="B15" s="22" t="s">
        <v>182</v>
      </c>
      <c r="C15" s="23">
        <v>711303.0</v>
      </c>
      <c r="D15" s="22" t="s">
        <v>157</v>
      </c>
      <c r="E15" s="24">
        <f t="shared" si="1"/>
        <v>45.4</v>
      </c>
      <c r="F15" s="24">
        <f t="shared" si="2"/>
        <v>0</v>
      </c>
      <c r="G15" s="23">
        <f t="shared" si="3"/>
        <v>0.5</v>
      </c>
      <c r="H15" s="24">
        <f>VLOOKUP(A15,'Order Report(X)'!$H$1:$I$125,2,FALSE)</f>
        <v>500</v>
      </c>
      <c r="I15" s="24">
        <f t="shared" si="4"/>
        <v>0.5</v>
      </c>
      <c r="J15" s="24">
        <f t="shared" si="5"/>
        <v>500</v>
      </c>
      <c r="K15" s="25" t="str">
        <f>vlookup(C15,'Pincode Zone (X)'!$G$1:$H$109,2,false)</f>
        <v>d</v>
      </c>
      <c r="L15" s="24">
        <f>ifs(K15="a",'Rates (Courier)'!$A$2,K15="b",'Rates (Courier)'!$C$2,K15="c",'Rates (Courier)'!$E$2,K15="d",'Rates (Courier)'!$G$2,K15="e",'Rates (Courier)'!$I$2)</f>
        <v>45.4</v>
      </c>
      <c r="M15" s="24">
        <f>ifs(K15="a",'Rates (Courier)'!$B$2,K15="b",'Rates (Courier)'!$D$2,K15="c",'Rates (Courier)'!$F$2,K15="d",'Rates (Courier)'!$H$2,K15="e",'Rates (Courier)'!$J$2)</f>
        <v>44.8</v>
      </c>
      <c r="N15" s="24">
        <f>ifs(K15="a",'Rates (Courier)'!$K$2,K15="b",'Rates (Courier)'!$M$2,K15="c",'Rates (Courier)'!$O$2,K15="d",'Rates (Courier)'!$Q$2,K15="e",'Rates (Courier)'!$S$2)</f>
        <v>41.3</v>
      </c>
      <c r="O15" s="24">
        <f>ifs(K15="a",'Rates (Courier)'!$L$2,K15="b",'Rates (Courier)'!$N$2,K15="c",'Rates (Courier)'!$P$2,K15="d",'Rates (Courier)'!$R$2,K15="e",'Rates (Courier)'!$T$2)</f>
        <v>44.8</v>
      </c>
      <c r="P15" s="26">
        <f t="shared" si="6"/>
        <v>45.4</v>
      </c>
      <c r="Q15" s="23">
        <f>VLOOKUP(B15,'Invoice (Courier)'!$A$1:$C$125,3,FALSE)</f>
        <v>0.68</v>
      </c>
      <c r="R15" s="27">
        <f t="shared" si="7"/>
        <v>1</v>
      </c>
      <c r="S15" s="28" t="str">
        <f>VLOOKUP(B15,'Invoice (Courier)'!$A$1:$F$125,match('Invoice (Courier)'!$F$1,'Invoice (Courier)'!$A$1:$F$1,FALSE),FALSE)</f>
        <v>d</v>
      </c>
      <c r="T15" s="26">
        <f>ROUND((VLOOKUP(B15,'Invoice (Courier)'!$A$1:$H$125,match('Invoice (Courier)'!$H$1,'Invoice (Courier)'!$A$1:$H$1,FALSE),FALSE)),20)</f>
        <v>90.2</v>
      </c>
      <c r="U15" s="26">
        <f t="shared" si="8"/>
        <v>-44.8</v>
      </c>
      <c r="V15" s="24">
        <f t="shared" si="9"/>
        <v>49.66740576</v>
      </c>
      <c r="W15" s="24">
        <f t="shared" si="10"/>
        <v>90.8</v>
      </c>
      <c r="X15" s="24">
        <f t="shared" si="11"/>
        <v>0</v>
      </c>
    </row>
    <row r="16">
      <c r="A16" s="22" t="s">
        <v>29</v>
      </c>
      <c r="B16" s="22" t="s">
        <v>184</v>
      </c>
      <c r="C16" s="23">
        <v>283102.0</v>
      </c>
      <c r="D16" s="22" t="s">
        <v>157</v>
      </c>
      <c r="E16" s="24">
        <f t="shared" si="1"/>
        <v>33</v>
      </c>
      <c r="F16" s="24">
        <f t="shared" si="2"/>
        <v>0</v>
      </c>
      <c r="G16" s="23">
        <f t="shared" si="3"/>
        <v>0.127</v>
      </c>
      <c r="H16" s="24">
        <f>VLOOKUP(A16,'Order Report(X)'!$H$1:$I$125,2,FALSE)</f>
        <v>127</v>
      </c>
      <c r="I16" s="24">
        <f t="shared" si="4"/>
        <v>0.5</v>
      </c>
      <c r="J16" s="24">
        <f t="shared" si="5"/>
        <v>500</v>
      </c>
      <c r="K16" s="25" t="str">
        <f>vlookup(C16,'Pincode Zone (X)'!$G$1:$H$109,2,false)</f>
        <v>b</v>
      </c>
      <c r="L16" s="24">
        <f>ifs(K16="a",'Rates (Courier)'!$A$2,K16="b",'Rates (Courier)'!$C$2,K16="c",'Rates (Courier)'!$E$2,K16="d",'Rates (Courier)'!$G$2,K16="e",'Rates (Courier)'!$I$2)</f>
        <v>33</v>
      </c>
      <c r="M16" s="24">
        <f>ifs(K16="a",'Rates (Courier)'!$B$2,K16="b",'Rates (Courier)'!$D$2,K16="c",'Rates (Courier)'!$F$2,K16="d",'Rates (Courier)'!$H$2,K16="e",'Rates (Courier)'!$J$2)</f>
        <v>28.3</v>
      </c>
      <c r="N16" s="24">
        <f>ifs(K16="a",'Rates (Courier)'!$K$2,K16="b",'Rates (Courier)'!$M$2,K16="c",'Rates (Courier)'!$O$2,K16="d",'Rates (Courier)'!$Q$2,K16="e",'Rates (Courier)'!$S$2)</f>
        <v>20.5</v>
      </c>
      <c r="O16" s="24">
        <f>ifs(K16="a",'Rates (Courier)'!$L$2,K16="b",'Rates (Courier)'!$N$2,K16="c",'Rates (Courier)'!$P$2,K16="d",'Rates (Courier)'!$R$2,K16="e",'Rates (Courier)'!$T$2)</f>
        <v>28.3</v>
      </c>
      <c r="P16" s="26">
        <f t="shared" si="6"/>
        <v>33</v>
      </c>
      <c r="Q16" s="23">
        <f>VLOOKUP(B16,'Invoice (Courier)'!$A$1:$C$125,3,FALSE)</f>
        <v>1</v>
      </c>
      <c r="R16" s="27">
        <f t="shared" si="7"/>
        <v>1</v>
      </c>
      <c r="S16" s="28" t="str">
        <f>VLOOKUP(B16,'Invoice (Courier)'!$A$1:$F$125,match('Invoice (Courier)'!$F$1,'Invoice (Courier)'!$A$1:$F$1,FALSE),FALSE)</f>
        <v>b</v>
      </c>
      <c r="T16" s="26">
        <f>ROUND((VLOOKUP(B16,'Invoice (Courier)'!$A$1:$H$125,match('Invoice (Courier)'!$H$1,'Invoice (Courier)'!$A$1:$H$1,FALSE),FALSE)),20)</f>
        <v>61.3</v>
      </c>
      <c r="U16" s="26">
        <f t="shared" si="8"/>
        <v>-28.3</v>
      </c>
      <c r="V16" s="24">
        <f t="shared" si="9"/>
        <v>46.16639478</v>
      </c>
      <c r="W16" s="24">
        <f t="shared" si="10"/>
        <v>259.8425197</v>
      </c>
      <c r="X16" s="24">
        <f t="shared" si="11"/>
        <v>0</v>
      </c>
    </row>
    <row r="17">
      <c r="A17" s="22" t="s">
        <v>30</v>
      </c>
      <c r="B17" s="22" t="s">
        <v>186</v>
      </c>
      <c r="C17" s="23">
        <v>370201.0</v>
      </c>
      <c r="D17" s="22" t="s">
        <v>157</v>
      </c>
      <c r="E17" s="24">
        <f t="shared" si="1"/>
        <v>90.2</v>
      </c>
      <c r="F17" s="24">
        <f t="shared" si="2"/>
        <v>0</v>
      </c>
      <c r="G17" s="23">
        <f t="shared" si="3"/>
        <v>0.952</v>
      </c>
      <c r="H17" s="24">
        <f>VLOOKUP(A17,'Order Report(X)'!$H$1:$I$125,2,FALSE)</f>
        <v>952</v>
      </c>
      <c r="I17" s="24">
        <f t="shared" si="4"/>
        <v>1</v>
      </c>
      <c r="J17" s="24">
        <f t="shared" si="5"/>
        <v>1000</v>
      </c>
      <c r="K17" s="25" t="str">
        <f>vlookup(C17,'Pincode Zone (X)'!$G$1:$H$109,2,false)</f>
        <v>d</v>
      </c>
      <c r="L17" s="24">
        <f>ifs(K17="a",'Rates (Courier)'!$A$2,K17="b",'Rates (Courier)'!$C$2,K17="c",'Rates (Courier)'!$E$2,K17="d",'Rates (Courier)'!$G$2,K17="e",'Rates (Courier)'!$I$2)</f>
        <v>45.4</v>
      </c>
      <c r="M17" s="24">
        <f>ifs(K17="a",'Rates (Courier)'!$B$2,K17="b",'Rates (Courier)'!$D$2,K17="c",'Rates (Courier)'!$F$2,K17="d",'Rates (Courier)'!$H$2,K17="e",'Rates (Courier)'!$J$2)</f>
        <v>44.8</v>
      </c>
      <c r="N17" s="24">
        <f>ifs(K17="a",'Rates (Courier)'!$K$2,K17="b",'Rates (Courier)'!$M$2,K17="c",'Rates (Courier)'!$O$2,K17="d",'Rates (Courier)'!$Q$2,K17="e",'Rates (Courier)'!$S$2)</f>
        <v>41.3</v>
      </c>
      <c r="O17" s="24">
        <f>ifs(K17="a",'Rates (Courier)'!$L$2,K17="b",'Rates (Courier)'!$N$2,K17="c",'Rates (Courier)'!$P$2,K17="d",'Rates (Courier)'!$R$2,K17="e",'Rates (Courier)'!$T$2)</f>
        <v>44.8</v>
      </c>
      <c r="P17" s="26">
        <f t="shared" si="6"/>
        <v>90.2</v>
      </c>
      <c r="Q17" s="23">
        <f>VLOOKUP(B17,'Invoice (Courier)'!$A$1:$C$125,3,FALSE)</f>
        <v>1.16</v>
      </c>
      <c r="R17" s="27">
        <f t="shared" si="7"/>
        <v>1.5</v>
      </c>
      <c r="S17" s="28" t="str">
        <f>VLOOKUP(B17,'Invoice (Courier)'!$A$1:$F$125,match('Invoice (Courier)'!$F$1,'Invoice (Courier)'!$A$1:$F$1,FALSE),FALSE)</f>
        <v>d</v>
      </c>
      <c r="T17" s="26">
        <f>ROUND((VLOOKUP(B17,'Invoice (Courier)'!$A$1:$H$125,match('Invoice (Courier)'!$H$1,'Invoice (Courier)'!$A$1:$H$1,FALSE),FALSE)),20)</f>
        <v>135</v>
      </c>
      <c r="U17" s="26">
        <f t="shared" si="8"/>
        <v>-44.8</v>
      </c>
      <c r="V17" s="24">
        <f t="shared" si="9"/>
        <v>33.18518519</v>
      </c>
      <c r="W17" s="24">
        <f t="shared" si="10"/>
        <v>94.74789916</v>
      </c>
      <c r="X17" s="24">
        <f t="shared" si="11"/>
        <v>0</v>
      </c>
    </row>
    <row r="18">
      <c r="A18" s="22" t="s">
        <v>32</v>
      </c>
      <c r="B18" s="22" t="s">
        <v>188</v>
      </c>
      <c r="C18" s="23">
        <v>248001.0</v>
      </c>
      <c r="D18" s="22" t="s">
        <v>157</v>
      </c>
      <c r="E18" s="24">
        <f t="shared" si="1"/>
        <v>33</v>
      </c>
      <c r="F18" s="24">
        <f t="shared" si="2"/>
        <v>0</v>
      </c>
      <c r="G18" s="23">
        <f t="shared" si="3"/>
        <v>0.5</v>
      </c>
      <c r="H18" s="24">
        <f>VLOOKUP(A18,'Order Report(X)'!$H$1:$I$125,2,FALSE)</f>
        <v>500</v>
      </c>
      <c r="I18" s="24">
        <f t="shared" si="4"/>
        <v>0.5</v>
      </c>
      <c r="J18" s="24">
        <f t="shared" si="5"/>
        <v>500</v>
      </c>
      <c r="K18" s="25" t="str">
        <f>vlookup(C18,'Pincode Zone (X)'!$G$1:$H$109,2,false)</f>
        <v>b</v>
      </c>
      <c r="L18" s="24">
        <f>ifs(K18="a",'Rates (Courier)'!$A$2,K18="b",'Rates (Courier)'!$C$2,K18="c",'Rates (Courier)'!$E$2,K18="d",'Rates (Courier)'!$G$2,K18="e",'Rates (Courier)'!$I$2)</f>
        <v>33</v>
      </c>
      <c r="M18" s="24">
        <f>ifs(K18="a",'Rates (Courier)'!$B$2,K18="b",'Rates (Courier)'!$D$2,K18="c",'Rates (Courier)'!$F$2,K18="d",'Rates (Courier)'!$H$2,K18="e",'Rates (Courier)'!$J$2)</f>
        <v>28.3</v>
      </c>
      <c r="N18" s="24">
        <f>ifs(K18="a",'Rates (Courier)'!$K$2,K18="b",'Rates (Courier)'!$M$2,K18="c",'Rates (Courier)'!$O$2,K18="d",'Rates (Courier)'!$Q$2,K18="e",'Rates (Courier)'!$S$2)</f>
        <v>20.5</v>
      </c>
      <c r="O18" s="24">
        <f>ifs(K18="a",'Rates (Courier)'!$L$2,K18="b",'Rates (Courier)'!$N$2,K18="c",'Rates (Courier)'!$P$2,K18="d",'Rates (Courier)'!$R$2,K18="e",'Rates (Courier)'!$T$2)</f>
        <v>28.3</v>
      </c>
      <c r="P18" s="26">
        <f t="shared" si="6"/>
        <v>33</v>
      </c>
      <c r="Q18" s="23">
        <f>VLOOKUP(B18,'Invoice (Courier)'!$A$1:$C$125,3,FALSE)</f>
        <v>0.68</v>
      </c>
      <c r="R18" s="27">
        <f t="shared" si="7"/>
        <v>1</v>
      </c>
      <c r="S18" s="28" t="str">
        <f>VLOOKUP(B18,'Invoice (Courier)'!$A$1:$F$125,match('Invoice (Courier)'!$F$1,'Invoice (Courier)'!$A$1:$F$1,FALSE),FALSE)</f>
        <v>b</v>
      </c>
      <c r="T18" s="26">
        <f>ROUND((VLOOKUP(B18,'Invoice (Courier)'!$A$1:$H$125,match('Invoice (Courier)'!$H$1,'Invoice (Courier)'!$A$1:$H$1,FALSE),FALSE)),20)</f>
        <v>61.3</v>
      </c>
      <c r="U18" s="26">
        <f t="shared" si="8"/>
        <v>-28.3</v>
      </c>
      <c r="V18" s="24">
        <f t="shared" si="9"/>
        <v>46.16639478</v>
      </c>
      <c r="W18" s="24">
        <f t="shared" si="10"/>
        <v>66</v>
      </c>
      <c r="X18" s="24">
        <f t="shared" si="11"/>
        <v>0</v>
      </c>
    </row>
    <row r="19">
      <c r="A19" s="22" t="s">
        <v>34</v>
      </c>
      <c r="B19" s="22" t="s">
        <v>190</v>
      </c>
      <c r="C19" s="23">
        <v>144001.0</v>
      </c>
      <c r="D19" s="22" t="s">
        <v>157</v>
      </c>
      <c r="E19" s="24">
        <f t="shared" si="1"/>
        <v>61.3</v>
      </c>
      <c r="F19" s="24">
        <f t="shared" si="2"/>
        <v>0</v>
      </c>
      <c r="G19" s="23">
        <f t="shared" si="3"/>
        <v>0.963</v>
      </c>
      <c r="H19" s="24">
        <f>VLOOKUP(A19,'Order Report(X)'!$H$1:$I$125,2,FALSE)</f>
        <v>963</v>
      </c>
      <c r="I19" s="24">
        <f t="shared" si="4"/>
        <v>1</v>
      </c>
      <c r="J19" s="24">
        <f t="shared" si="5"/>
        <v>1000</v>
      </c>
      <c r="K19" s="25" t="str">
        <f>vlookup(C19,'Pincode Zone (X)'!$G$1:$H$109,2,false)</f>
        <v>b</v>
      </c>
      <c r="L19" s="24">
        <f>ifs(K19="a",'Rates (Courier)'!$A$2,K19="b",'Rates (Courier)'!$C$2,K19="c",'Rates (Courier)'!$E$2,K19="d",'Rates (Courier)'!$G$2,K19="e",'Rates (Courier)'!$I$2)</f>
        <v>33</v>
      </c>
      <c r="M19" s="24">
        <f>ifs(K19="a",'Rates (Courier)'!$B$2,K19="b",'Rates (Courier)'!$D$2,K19="c",'Rates (Courier)'!$F$2,K19="d",'Rates (Courier)'!$H$2,K19="e",'Rates (Courier)'!$J$2)</f>
        <v>28.3</v>
      </c>
      <c r="N19" s="24">
        <f>ifs(K19="a",'Rates (Courier)'!$K$2,K19="b",'Rates (Courier)'!$M$2,K19="c",'Rates (Courier)'!$O$2,K19="d",'Rates (Courier)'!$Q$2,K19="e",'Rates (Courier)'!$S$2)</f>
        <v>20.5</v>
      </c>
      <c r="O19" s="24">
        <f>ifs(K19="a",'Rates (Courier)'!$L$2,K19="b",'Rates (Courier)'!$N$2,K19="c",'Rates (Courier)'!$P$2,K19="d",'Rates (Courier)'!$R$2,K19="e",'Rates (Courier)'!$T$2)</f>
        <v>28.3</v>
      </c>
      <c r="P19" s="26">
        <f t="shared" si="6"/>
        <v>61.3</v>
      </c>
      <c r="Q19" s="23">
        <f>VLOOKUP(B19,'Invoice (Courier)'!$A$1:$C$125,3,FALSE)</f>
        <v>1.08</v>
      </c>
      <c r="R19" s="27">
        <f t="shared" si="7"/>
        <v>1.5</v>
      </c>
      <c r="S19" s="28" t="str">
        <f>VLOOKUP(B19,'Invoice (Courier)'!$A$1:$F$125,match('Invoice (Courier)'!$F$1,'Invoice (Courier)'!$A$1:$F$1,FALSE),FALSE)</f>
        <v>b</v>
      </c>
      <c r="T19" s="26">
        <f>ROUND((VLOOKUP(B19,'Invoice (Courier)'!$A$1:$H$125,match('Invoice (Courier)'!$H$1,'Invoice (Courier)'!$A$1:$H$1,FALSE),FALSE)),20)</f>
        <v>89.6</v>
      </c>
      <c r="U19" s="26">
        <f t="shared" si="8"/>
        <v>-28.3</v>
      </c>
      <c r="V19" s="24">
        <f t="shared" si="9"/>
        <v>31.58482143</v>
      </c>
      <c r="W19" s="24">
        <f t="shared" si="10"/>
        <v>63.65524403</v>
      </c>
      <c r="X19" s="24">
        <f t="shared" si="11"/>
        <v>0</v>
      </c>
    </row>
    <row r="20">
      <c r="A20" s="22" t="s">
        <v>36</v>
      </c>
      <c r="B20" s="22" t="s">
        <v>192</v>
      </c>
      <c r="C20" s="23">
        <v>403401.0</v>
      </c>
      <c r="D20" s="22" t="s">
        <v>157</v>
      </c>
      <c r="E20" s="24">
        <f t="shared" si="1"/>
        <v>45.4</v>
      </c>
      <c r="F20" s="24">
        <f t="shared" si="2"/>
        <v>0</v>
      </c>
      <c r="G20" s="23">
        <f t="shared" si="3"/>
        <v>0.5</v>
      </c>
      <c r="H20" s="24">
        <f>VLOOKUP(A20,'Order Report(X)'!$H$1:$I$125,2,FALSE)</f>
        <v>500</v>
      </c>
      <c r="I20" s="24">
        <f t="shared" si="4"/>
        <v>0.5</v>
      </c>
      <c r="J20" s="24">
        <f t="shared" si="5"/>
        <v>500</v>
      </c>
      <c r="K20" s="25" t="str">
        <f>vlookup(C20,'Pincode Zone (X)'!$G$1:$H$109,2,false)</f>
        <v>d</v>
      </c>
      <c r="L20" s="24">
        <f>ifs(K20="a",'Rates (Courier)'!$A$2,K20="b",'Rates (Courier)'!$C$2,K20="c",'Rates (Courier)'!$E$2,K20="d",'Rates (Courier)'!$G$2,K20="e",'Rates (Courier)'!$I$2)</f>
        <v>45.4</v>
      </c>
      <c r="M20" s="24">
        <f>ifs(K20="a",'Rates (Courier)'!$B$2,K20="b",'Rates (Courier)'!$D$2,K20="c",'Rates (Courier)'!$F$2,K20="d",'Rates (Courier)'!$H$2,K20="e",'Rates (Courier)'!$J$2)</f>
        <v>44.8</v>
      </c>
      <c r="N20" s="24">
        <f>ifs(K20="a",'Rates (Courier)'!$K$2,K20="b",'Rates (Courier)'!$M$2,K20="c",'Rates (Courier)'!$O$2,K20="d",'Rates (Courier)'!$Q$2,K20="e",'Rates (Courier)'!$S$2)</f>
        <v>41.3</v>
      </c>
      <c r="O20" s="24">
        <f>ifs(K20="a",'Rates (Courier)'!$L$2,K20="b",'Rates (Courier)'!$N$2,K20="c",'Rates (Courier)'!$P$2,K20="d",'Rates (Courier)'!$R$2,K20="e",'Rates (Courier)'!$T$2)</f>
        <v>44.8</v>
      </c>
      <c r="P20" s="26">
        <f t="shared" si="6"/>
        <v>45.4</v>
      </c>
      <c r="Q20" s="23">
        <f>VLOOKUP(B20,'Invoice (Courier)'!$A$1:$C$125,3,FALSE)</f>
        <v>0.69</v>
      </c>
      <c r="R20" s="27">
        <f t="shared" si="7"/>
        <v>1</v>
      </c>
      <c r="S20" s="28" t="str">
        <f>VLOOKUP(B20,'Invoice (Courier)'!$A$1:$F$125,match('Invoice (Courier)'!$F$1,'Invoice (Courier)'!$A$1:$F$1,FALSE),FALSE)</f>
        <v>d</v>
      </c>
      <c r="T20" s="26">
        <f>ROUND((VLOOKUP(B20,'Invoice (Courier)'!$A$1:$H$125,match('Invoice (Courier)'!$H$1,'Invoice (Courier)'!$A$1:$H$1,FALSE),FALSE)),20)</f>
        <v>90.2</v>
      </c>
      <c r="U20" s="26">
        <f t="shared" si="8"/>
        <v>-44.8</v>
      </c>
      <c r="V20" s="24">
        <f t="shared" si="9"/>
        <v>49.66740576</v>
      </c>
      <c r="W20" s="24">
        <f t="shared" si="10"/>
        <v>90.8</v>
      </c>
      <c r="X20" s="24">
        <f t="shared" si="11"/>
        <v>0</v>
      </c>
    </row>
    <row r="21">
      <c r="A21" s="22" t="s">
        <v>41</v>
      </c>
      <c r="B21" s="22" t="s">
        <v>194</v>
      </c>
      <c r="C21" s="23">
        <v>452001.0</v>
      </c>
      <c r="D21" s="22" t="s">
        <v>157</v>
      </c>
      <c r="E21" s="24">
        <f t="shared" si="1"/>
        <v>90.2</v>
      </c>
      <c r="F21" s="24">
        <f t="shared" si="2"/>
        <v>0</v>
      </c>
      <c r="G21" s="23">
        <f t="shared" si="3"/>
        <v>0.967</v>
      </c>
      <c r="H21" s="24">
        <f>VLOOKUP(A21,'Order Report(X)'!$H$1:$I$125,2,FALSE)</f>
        <v>967</v>
      </c>
      <c r="I21" s="24">
        <f t="shared" si="4"/>
        <v>1</v>
      </c>
      <c r="J21" s="24">
        <f t="shared" si="5"/>
        <v>1000</v>
      </c>
      <c r="K21" s="25" t="str">
        <f>vlookup(C21,'Pincode Zone (X)'!$G$1:$H$109,2,false)</f>
        <v>d</v>
      </c>
      <c r="L21" s="24">
        <f>ifs(K21="a",'Rates (Courier)'!$A$2,K21="b",'Rates (Courier)'!$C$2,K21="c",'Rates (Courier)'!$E$2,K21="d",'Rates (Courier)'!$G$2,K21="e",'Rates (Courier)'!$I$2)</f>
        <v>45.4</v>
      </c>
      <c r="M21" s="24">
        <f>ifs(K21="a",'Rates (Courier)'!$B$2,K21="b",'Rates (Courier)'!$D$2,K21="c",'Rates (Courier)'!$F$2,K21="d",'Rates (Courier)'!$H$2,K21="e",'Rates (Courier)'!$J$2)</f>
        <v>44.8</v>
      </c>
      <c r="N21" s="24">
        <f>ifs(K21="a",'Rates (Courier)'!$K$2,K21="b",'Rates (Courier)'!$M$2,K21="c",'Rates (Courier)'!$O$2,K21="d",'Rates (Courier)'!$Q$2,K21="e",'Rates (Courier)'!$S$2)</f>
        <v>41.3</v>
      </c>
      <c r="O21" s="24">
        <f>ifs(K21="a",'Rates (Courier)'!$L$2,K21="b",'Rates (Courier)'!$N$2,K21="c",'Rates (Courier)'!$P$2,K21="d",'Rates (Courier)'!$R$2,K21="e",'Rates (Courier)'!$T$2)</f>
        <v>44.8</v>
      </c>
      <c r="P21" s="26">
        <f t="shared" si="6"/>
        <v>90.2</v>
      </c>
      <c r="Q21" s="23">
        <f>VLOOKUP(B21,'Invoice (Courier)'!$A$1:$C$125,3,FALSE)</f>
        <v>1.13</v>
      </c>
      <c r="R21" s="27">
        <f t="shared" si="7"/>
        <v>1.5</v>
      </c>
      <c r="S21" s="28" t="str">
        <f>VLOOKUP(B21,'Invoice (Courier)'!$A$1:$F$125,match('Invoice (Courier)'!$F$1,'Invoice (Courier)'!$A$1:$F$1,FALSE),FALSE)</f>
        <v>d</v>
      </c>
      <c r="T21" s="26">
        <f>ROUND((VLOOKUP(B21,'Invoice (Courier)'!$A$1:$H$125,match('Invoice (Courier)'!$H$1,'Invoice (Courier)'!$A$1:$H$1,FALSE),FALSE)),20)</f>
        <v>135</v>
      </c>
      <c r="U21" s="26">
        <f t="shared" si="8"/>
        <v>-44.8</v>
      </c>
      <c r="V21" s="24">
        <f t="shared" si="9"/>
        <v>33.18518519</v>
      </c>
      <c r="W21" s="24">
        <f t="shared" si="10"/>
        <v>93.27817994</v>
      </c>
      <c r="X21" s="24">
        <f t="shared" si="11"/>
        <v>0</v>
      </c>
    </row>
    <row r="22">
      <c r="A22" s="22" t="s">
        <v>42</v>
      </c>
      <c r="B22" s="22" t="s">
        <v>196</v>
      </c>
      <c r="C22" s="23">
        <v>721636.0</v>
      </c>
      <c r="D22" s="22" t="s">
        <v>157</v>
      </c>
      <c r="E22" s="24">
        <f t="shared" si="1"/>
        <v>45.4</v>
      </c>
      <c r="F22" s="24">
        <f t="shared" si="2"/>
        <v>0</v>
      </c>
      <c r="G22" s="23">
        <f t="shared" si="3"/>
        <v>0.5</v>
      </c>
      <c r="H22" s="24">
        <f>VLOOKUP(A22,'Order Report(X)'!$H$1:$I$125,2,FALSE)</f>
        <v>500</v>
      </c>
      <c r="I22" s="24">
        <f t="shared" si="4"/>
        <v>0.5</v>
      </c>
      <c r="J22" s="24">
        <f t="shared" si="5"/>
        <v>500</v>
      </c>
      <c r="K22" s="25" t="str">
        <f>vlookup(C22,'Pincode Zone (X)'!$G$1:$H$109,2,false)</f>
        <v>d</v>
      </c>
      <c r="L22" s="24">
        <f>ifs(K22="a",'Rates (Courier)'!$A$2,K22="b",'Rates (Courier)'!$C$2,K22="c",'Rates (Courier)'!$E$2,K22="d",'Rates (Courier)'!$G$2,K22="e",'Rates (Courier)'!$I$2)</f>
        <v>45.4</v>
      </c>
      <c r="M22" s="24">
        <f>ifs(K22="a",'Rates (Courier)'!$B$2,K22="b",'Rates (Courier)'!$D$2,K22="c",'Rates (Courier)'!$F$2,K22="d",'Rates (Courier)'!$H$2,K22="e",'Rates (Courier)'!$J$2)</f>
        <v>44.8</v>
      </c>
      <c r="N22" s="24">
        <f>ifs(K22="a",'Rates (Courier)'!$K$2,K22="b",'Rates (Courier)'!$M$2,K22="c",'Rates (Courier)'!$O$2,K22="d",'Rates (Courier)'!$Q$2,K22="e",'Rates (Courier)'!$S$2)</f>
        <v>41.3</v>
      </c>
      <c r="O22" s="24">
        <f>ifs(K22="a",'Rates (Courier)'!$L$2,K22="b",'Rates (Courier)'!$N$2,K22="c",'Rates (Courier)'!$P$2,K22="d",'Rates (Courier)'!$R$2,K22="e",'Rates (Courier)'!$T$2)</f>
        <v>44.8</v>
      </c>
      <c r="P22" s="26">
        <f t="shared" si="6"/>
        <v>45.4</v>
      </c>
      <c r="Q22" s="23">
        <f>VLOOKUP(B22,'Invoice (Courier)'!$A$1:$C$125,3,FALSE)</f>
        <v>0.69</v>
      </c>
      <c r="R22" s="27">
        <f t="shared" si="7"/>
        <v>1</v>
      </c>
      <c r="S22" s="28" t="str">
        <f>VLOOKUP(B22,'Invoice (Courier)'!$A$1:$F$125,match('Invoice (Courier)'!$F$1,'Invoice (Courier)'!$A$1:$F$1,FALSE),FALSE)</f>
        <v>d</v>
      </c>
      <c r="T22" s="26">
        <f>ROUND((VLOOKUP(B22,'Invoice (Courier)'!$A$1:$H$125,match('Invoice (Courier)'!$H$1,'Invoice (Courier)'!$A$1:$H$1,FALSE),FALSE)),20)</f>
        <v>90.2</v>
      </c>
      <c r="U22" s="26">
        <f t="shared" si="8"/>
        <v>-44.8</v>
      </c>
      <c r="V22" s="24">
        <f t="shared" si="9"/>
        <v>49.66740576</v>
      </c>
      <c r="W22" s="24">
        <f t="shared" si="10"/>
        <v>90.8</v>
      </c>
      <c r="X22" s="24">
        <f t="shared" si="11"/>
        <v>0</v>
      </c>
    </row>
    <row r="23">
      <c r="A23" s="22" t="s">
        <v>39</v>
      </c>
      <c r="B23" s="22" t="s">
        <v>198</v>
      </c>
      <c r="C23" s="23">
        <v>831002.0</v>
      </c>
      <c r="D23" s="22" t="s">
        <v>157</v>
      </c>
      <c r="E23" s="24">
        <f t="shared" si="1"/>
        <v>45.4</v>
      </c>
      <c r="F23" s="24">
        <f t="shared" si="2"/>
        <v>0</v>
      </c>
      <c r="G23" s="23">
        <f t="shared" si="3"/>
        <v>0.5</v>
      </c>
      <c r="H23" s="24">
        <f>VLOOKUP(A23,'Order Report(X)'!$H$1:$I$125,2,FALSE)</f>
        <v>500</v>
      </c>
      <c r="I23" s="24">
        <f t="shared" si="4"/>
        <v>0.5</v>
      </c>
      <c r="J23" s="24">
        <f t="shared" si="5"/>
        <v>500</v>
      </c>
      <c r="K23" s="25" t="str">
        <f>vlookup(C23,'Pincode Zone (X)'!$G$1:$H$109,2,false)</f>
        <v>d</v>
      </c>
      <c r="L23" s="24">
        <f>ifs(K23="a",'Rates (Courier)'!$A$2,K23="b",'Rates (Courier)'!$C$2,K23="c",'Rates (Courier)'!$E$2,K23="d",'Rates (Courier)'!$G$2,K23="e",'Rates (Courier)'!$I$2)</f>
        <v>45.4</v>
      </c>
      <c r="M23" s="24">
        <f>ifs(K23="a",'Rates (Courier)'!$B$2,K23="b",'Rates (Courier)'!$D$2,K23="c",'Rates (Courier)'!$F$2,K23="d",'Rates (Courier)'!$H$2,K23="e",'Rates (Courier)'!$J$2)</f>
        <v>44.8</v>
      </c>
      <c r="N23" s="24">
        <f>ifs(K23="a",'Rates (Courier)'!$K$2,K23="b",'Rates (Courier)'!$M$2,K23="c",'Rates (Courier)'!$O$2,K23="d",'Rates (Courier)'!$Q$2,K23="e",'Rates (Courier)'!$S$2)</f>
        <v>41.3</v>
      </c>
      <c r="O23" s="24">
        <f>ifs(K23="a",'Rates (Courier)'!$L$2,K23="b",'Rates (Courier)'!$N$2,K23="c",'Rates (Courier)'!$P$2,K23="d",'Rates (Courier)'!$R$2,K23="e",'Rates (Courier)'!$T$2)</f>
        <v>44.8</v>
      </c>
      <c r="P23" s="26">
        <f t="shared" si="6"/>
        <v>45.4</v>
      </c>
      <c r="Q23" s="23">
        <f>VLOOKUP(B23,'Invoice (Courier)'!$A$1:$C$125,3,FALSE)</f>
        <v>0.68</v>
      </c>
      <c r="R23" s="27">
        <f t="shared" si="7"/>
        <v>1</v>
      </c>
      <c r="S23" s="28" t="str">
        <f>VLOOKUP(B23,'Invoice (Courier)'!$A$1:$F$125,match('Invoice (Courier)'!$F$1,'Invoice (Courier)'!$A$1:$F$1,FALSE),FALSE)</f>
        <v>d</v>
      </c>
      <c r="T23" s="26">
        <f>ROUND((VLOOKUP(B23,'Invoice (Courier)'!$A$1:$H$125,match('Invoice (Courier)'!$H$1,'Invoice (Courier)'!$A$1:$H$1,FALSE),FALSE)),20)</f>
        <v>90.2</v>
      </c>
      <c r="U23" s="26">
        <f t="shared" si="8"/>
        <v>-44.8</v>
      </c>
      <c r="V23" s="24">
        <f t="shared" si="9"/>
        <v>49.66740576</v>
      </c>
      <c r="W23" s="24">
        <f t="shared" si="10"/>
        <v>90.8</v>
      </c>
      <c r="X23" s="24">
        <f t="shared" si="11"/>
        <v>0</v>
      </c>
    </row>
    <row r="24">
      <c r="A24" s="22" t="s">
        <v>43</v>
      </c>
      <c r="B24" s="22" t="s">
        <v>200</v>
      </c>
      <c r="C24" s="23">
        <v>322201.0</v>
      </c>
      <c r="D24" s="22" t="s">
        <v>157</v>
      </c>
      <c r="E24" s="24">
        <f t="shared" si="1"/>
        <v>61.3</v>
      </c>
      <c r="F24" s="24">
        <f t="shared" si="2"/>
        <v>0</v>
      </c>
      <c r="G24" s="23">
        <f t="shared" si="3"/>
        <v>0.84</v>
      </c>
      <c r="H24" s="24">
        <f>VLOOKUP(A24,'Order Report(X)'!$H$1:$I$125,2,FALSE)</f>
        <v>840</v>
      </c>
      <c r="I24" s="24">
        <f t="shared" si="4"/>
        <v>1</v>
      </c>
      <c r="J24" s="24">
        <f t="shared" si="5"/>
        <v>1000</v>
      </c>
      <c r="K24" s="25" t="str">
        <f>vlookup(C24,'Pincode Zone (X)'!$G$1:$H$109,2,false)</f>
        <v>b</v>
      </c>
      <c r="L24" s="24">
        <f>ifs(K24="a",'Rates (Courier)'!$A$2,K24="b",'Rates (Courier)'!$C$2,K24="c",'Rates (Courier)'!$E$2,K24="d",'Rates (Courier)'!$G$2,K24="e",'Rates (Courier)'!$I$2)</f>
        <v>33</v>
      </c>
      <c r="M24" s="24">
        <f>ifs(K24="a",'Rates (Courier)'!$B$2,K24="b",'Rates (Courier)'!$D$2,K24="c",'Rates (Courier)'!$F$2,K24="d",'Rates (Courier)'!$H$2,K24="e",'Rates (Courier)'!$J$2)</f>
        <v>28.3</v>
      </c>
      <c r="N24" s="24">
        <f>ifs(K24="a",'Rates (Courier)'!$K$2,K24="b",'Rates (Courier)'!$M$2,K24="c",'Rates (Courier)'!$O$2,K24="d",'Rates (Courier)'!$Q$2,K24="e",'Rates (Courier)'!$S$2)</f>
        <v>20.5</v>
      </c>
      <c r="O24" s="24">
        <f>ifs(K24="a",'Rates (Courier)'!$L$2,K24="b",'Rates (Courier)'!$N$2,K24="c",'Rates (Courier)'!$P$2,K24="d",'Rates (Courier)'!$R$2,K24="e",'Rates (Courier)'!$T$2)</f>
        <v>28.3</v>
      </c>
      <c r="P24" s="26">
        <f t="shared" si="6"/>
        <v>61.3</v>
      </c>
      <c r="Q24" s="23">
        <f>VLOOKUP(B24,'Invoice (Courier)'!$A$1:$C$125,3,FALSE)</f>
        <v>1.02</v>
      </c>
      <c r="R24" s="27">
        <f t="shared" si="7"/>
        <v>1.5</v>
      </c>
      <c r="S24" s="28" t="str">
        <f>VLOOKUP(B24,'Invoice (Courier)'!$A$1:$F$125,match('Invoice (Courier)'!$F$1,'Invoice (Courier)'!$A$1:$F$1,FALSE),FALSE)</f>
        <v>d</v>
      </c>
      <c r="T24" s="26">
        <f>ROUND((VLOOKUP(B24,'Invoice (Courier)'!$A$1:$H$125,match('Invoice (Courier)'!$H$1,'Invoice (Courier)'!$A$1:$H$1,FALSE),FALSE)),20)</f>
        <v>135</v>
      </c>
      <c r="U24" s="26">
        <f t="shared" si="8"/>
        <v>-73.7</v>
      </c>
      <c r="V24" s="24">
        <f t="shared" si="9"/>
        <v>54.59259259</v>
      </c>
      <c r="W24" s="24">
        <f t="shared" si="10"/>
        <v>72.97619048</v>
      </c>
      <c r="X24" s="24">
        <f t="shared" si="11"/>
        <v>0</v>
      </c>
    </row>
    <row r="25">
      <c r="A25" s="22" t="s">
        <v>45</v>
      </c>
      <c r="B25" s="22" t="s">
        <v>202</v>
      </c>
      <c r="C25" s="23">
        <v>226004.0</v>
      </c>
      <c r="D25" s="22" t="s">
        <v>157</v>
      </c>
      <c r="E25" s="24">
        <f t="shared" si="1"/>
        <v>61.3</v>
      </c>
      <c r="F25" s="24">
        <f t="shared" si="2"/>
        <v>0</v>
      </c>
      <c r="G25" s="23">
        <f t="shared" si="3"/>
        <v>0.611</v>
      </c>
      <c r="H25" s="24">
        <f>VLOOKUP(A25,'Order Report(X)'!$H$1:$I$125,2,FALSE)</f>
        <v>611</v>
      </c>
      <c r="I25" s="24">
        <f t="shared" si="4"/>
        <v>1</v>
      </c>
      <c r="J25" s="24">
        <f t="shared" si="5"/>
        <v>1000</v>
      </c>
      <c r="K25" s="25" t="str">
        <f>vlookup(C25,'Pincode Zone (X)'!$G$1:$H$109,2,false)</f>
        <v>b</v>
      </c>
      <c r="L25" s="24">
        <f>ifs(K25="a",'Rates (Courier)'!$A$2,K25="b",'Rates (Courier)'!$C$2,K25="c",'Rates (Courier)'!$E$2,K25="d",'Rates (Courier)'!$G$2,K25="e",'Rates (Courier)'!$I$2)</f>
        <v>33</v>
      </c>
      <c r="M25" s="24">
        <f>ifs(K25="a",'Rates (Courier)'!$B$2,K25="b",'Rates (Courier)'!$D$2,K25="c",'Rates (Courier)'!$F$2,K25="d",'Rates (Courier)'!$H$2,K25="e",'Rates (Courier)'!$J$2)</f>
        <v>28.3</v>
      </c>
      <c r="N25" s="24">
        <f>ifs(K25="a",'Rates (Courier)'!$K$2,K25="b",'Rates (Courier)'!$M$2,K25="c",'Rates (Courier)'!$O$2,K25="d",'Rates (Courier)'!$Q$2,K25="e",'Rates (Courier)'!$S$2)</f>
        <v>20.5</v>
      </c>
      <c r="O25" s="24">
        <f>ifs(K25="a",'Rates (Courier)'!$L$2,K25="b",'Rates (Courier)'!$N$2,K25="c",'Rates (Courier)'!$P$2,K25="d",'Rates (Courier)'!$R$2,K25="e",'Rates (Courier)'!$T$2)</f>
        <v>28.3</v>
      </c>
      <c r="P25" s="26">
        <f t="shared" si="6"/>
        <v>61.3</v>
      </c>
      <c r="Q25" s="23">
        <f>VLOOKUP(B25,'Invoice (Courier)'!$A$1:$C$125,3,FALSE)</f>
        <v>2.86</v>
      </c>
      <c r="R25" s="27">
        <f t="shared" si="7"/>
        <v>3</v>
      </c>
      <c r="S25" s="28" t="str">
        <f>VLOOKUP(B25,'Invoice (Courier)'!$A$1:$F$125,match('Invoice (Courier)'!$F$1,'Invoice (Courier)'!$A$1:$F$1,FALSE),FALSE)</f>
        <v>b</v>
      </c>
      <c r="T25" s="26">
        <f>ROUND((VLOOKUP(B25,'Invoice (Courier)'!$A$1:$H$125,match('Invoice (Courier)'!$H$1,'Invoice (Courier)'!$A$1:$H$1,FALSE),FALSE)),20)</f>
        <v>174.5</v>
      </c>
      <c r="U25" s="26">
        <f t="shared" si="8"/>
        <v>-113.2</v>
      </c>
      <c r="V25" s="24">
        <f t="shared" si="9"/>
        <v>64.87106017</v>
      </c>
      <c r="W25" s="24">
        <f t="shared" si="10"/>
        <v>100.3273322</v>
      </c>
      <c r="X25" s="24">
        <f t="shared" si="11"/>
        <v>0</v>
      </c>
    </row>
    <row r="26">
      <c r="A26" s="22" t="s">
        <v>47</v>
      </c>
      <c r="B26" s="22" t="s">
        <v>204</v>
      </c>
      <c r="C26" s="23">
        <v>248001.0</v>
      </c>
      <c r="D26" s="22" t="s">
        <v>157</v>
      </c>
      <c r="E26" s="24">
        <f t="shared" si="1"/>
        <v>33</v>
      </c>
      <c r="F26" s="24">
        <f t="shared" si="2"/>
        <v>0</v>
      </c>
      <c r="G26" s="23">
        <f t="shared" si="3"/>
        <v>0.361</v>
      </c>
      <c r="H26" s="24">
        <f>VLOOKUP(A26,'Order Report(X)'!$H$1:$I$125,2,FALSE)</f>
        <v>361</v>
      </c>
      <c r="I26" s="24">
        <f t="shared" si="4"/>
        <v>0.5</v>
      </c>
      <c r="J26" s="24">
        <f t="shared" si="5"/>
        <v>500</v>
      </c>
      <c r="K26" s="25" t="str">
        <f>vlookup(C26,'Pincode Zone (X)'!$G$1:$H$109,2,false)</f>
        <v>b</v>
      </c>
      <c r="L26" s="24">
        <f>ifs(K26="a",'Rates (Courier)'!$A$2,K26="b",'Rates (Courier)'!$C$2,K26="c",'Rates (Courier)'!$E$2,K26="d",'Rates (Courier)'!$G$2,K26="e",'Rates (Courier)'!$I$2)</f>
        <v>33</v>
      </c>
      <c r="M26" s="24">
        <f>ifs(K26="a",'Rates (Courier)'!$B$2,K26="b",'Rates (Courier)'!$D$2,K26="c",'Rates (Courier)'!$F$2,K26="d",'Rates (Courier)'!$H$2,K26="e",'Rates (Courier)'!$J$2)</f>
        <v>28.3</v>
      </c>
      <c r="N26" s="24">
        <f>ifs(K26="a",'Rates (Courier)'!$K$2,K26="b",'Rates (Courier)'!$M$2,K26="c",'Rates (Courier)'!$O$2,K26="d",'Rates (Courier)'!$Q$2,K26="e",'Rates (Courier)'!$S$2)</f>
        <v>20.5</v>
      </c>
      <c r="O26" s="24">
        <f>ifs(K26="a",'Rates (Courier)'!$L$2,K26="b",'Rates (Courier)'!$N$2,K26="c",'Rates (Courier)'!$P$2,K26="d",'Rates (Courier)'!$R$2,K26="e",'Rates (Courier)'!$T$2)</f>
        <v>28.3</v>
      </c>
      <c r="P26" s="26">
        <f t="shared" si="6"/>
        <v>33</v>
      </c>
      <c r="Q26" s="23">
        <f>VLOOKUP(B26,'Invoice (Courier)'!$A$1:$C$125,3,FALSE)</f>
        <v>1.35</v>
      </c>
      <c r="R26" s="27">
        <f t="shared" si="7"/>
        <v>1.5</v>
      </c>
      <c r="S26" s="28" t="str">
        <f>VLOOKUP(B26,'Invoice (Courier)'!$A$1:$F$125,match('Invoice (Courier)'!$F$1,'Invoice (Courier)'!$A$1:$F$1,FALSE),FALSE)</f>
        <v>b</v>
      </c>
      <c r="T26" s="26">
        <f>ROUND((VLOOKUP(B26,'Invoice (Courier)'!$A$1:$H$125,match('Invoice (Courier)'!$H$1,'Invoice (Courier)'!$A$1:$H$1,FALSE),FALSE)),20)</f>
        <v>89.6</v>
      </c>
      <c r="U26" s="26">
        <f t="shared" si="8"/>
        <v>-56.6</v>
      </c>
      <c r="V26" s="24">
        <f t="shared" si="9"/>
        <v>63.16964286</v>
      </c>
      <c r="W26" s="24">
        <f t="shared" si="10"/>
        <v>91.41274238</v>
      </c>
      <c r="X26" s="24">
        <f t="shared" si="11"/>
        <v>0</v>
      </c>
    </row>
    <row r="27">
      <c r="A27" s="22" t="s">
        <v>49</v>
      </c>
      <c r="B27" s="22" t="s">
        <v>205</v>
      </c>
      <c r="C27" s="23">
        <v>314001.0</v>
      </c>
      <c r="D27" s="22" t="s">
        <v>157</v>
      </c>
      <c r="E27" s="24">
        <f t="shared" si="1"/>
        <v>33</v>
      </c>
      <c r="F27" s="24">
        <f t="shared" si="2"/>
        <v>0</v>
      </c>
      <c r="G27" s="23">
        <f t="shared" si="3"/>
        <v>0.127</v>
      </c>
      <c r="H27" s="24">
        <f>VLOOKUP(A27,'Order Report(X)'!$H$1:$I$125,2,FALSE)</f>
        <v>127</v>
      </c>
      <c r="I27" s="24">
        <f t="shared" si="4"/>
        <v>0.5</v>
      </c>
      <c r="J27" s="24">
        <f t="shared" si="5"/>
        <v>500</v>
      </c>
      <c r="K27" s="25" t="str">
        <f>vlookup(C27,'Pincode Zone (X)'!$G$1:$H$109,2,false)</f>
        <v>b</v>
      </c>
      <c r="L27" s="24">
        <f>ifs(K27="a",'Rates (Courier)'!$A$2,K27="b",'Rates (Courier)'!$C$2,K27="c",'Rates (Courier)'!$E$2,K27="d",'Rates (Courier)'!$G$2,K27="e",'Rates (Courier)'!$I$2)</f>
        <v>33</v>
      </c>
      <c r="M27" s="24">
        <f>ifs(K27="a",'Rates (Courier)'!$B$2,K27="b",'Rates (Courier)'!$D$2,K27="c",'Rates (Courier)'!$F$2,K27="d",'Rates (Courier)'!$H$2,K27="e",'Rates (Courier)'!$J$2)</f>
        <v>28.3</v>
      </c>
      <c r="N27" s="24">
        <f>ifs(K27="a",'Rates (Courier)'!$K$2,K27="b",'Rates (Courier)'!$M$2,K27="c",'Rates (Courier)'!$O$2,K27="d",'Rates (Courier)'!$Q$2,K27="e",'Rates (Courier)'!$S$2)</f>
        <v>20.5</v>
      </c>
      <c r="O27" s="24">
        <f>ifs(K27="a",'Rates (Courier)'!$L$2,K27="b",'Rates (Courier)'!$N$2,K27="c",'Rates (Courier)'!$P$2,K27="d",'Rates (Courier)'!$R$2,K27="e",'Rates (Courier)'!$T$2)</f>
        <v>28.3</v>
      </c>
      <c r="P27" s="26">
        <f t="shared" si="6"/>
        <v>33</v>
      </c>
      <c r="Q27" s="23">
        <f>VLOOKUP(B27,'Invoice (Courier)'!$A$1:$C$125,3,FALSE)</f>
        <v>0.59</v>
      </c>
      <c r="R27" s="27">
        <f t="shared" si="7"/>
        <v>1</v>
      </c>
      <c r="S27" s="28" t="str">
        <f>VLOOKUP(B27,'Invoice (Courier)'!$A$1:$F$125,match('Invoice (Courier)'!$F$1,'Invoice (Courier)'!$A$1:$F$1,FALSE),FALSE)</f>
        <v>d</v>
      </c>
      <c r="T27" s="26">
        <f>ROUND((VLOOKUP(B27,'Invoice (Courier)'!$A$1:$H$125,match('Invoice (Courier)'!$H$1,'Invoice (Courier)'!$A$1:$H$1,FALSE),FALSE)),20)</f>
        <v>90.2</v>
      </c>
      <c r="U27" s="26">
        <f t="shared" si="8"/>
        <v>-57.2</v>
      </c>
      <c r="V27" s="24">
        <f t="shared" si="9"/>
        <v>63.41463415</v>
      </c>
      <c r="W27" s="24">
        <f t="shared" si="10"/>
        <v>259.8425197</v>
      </c>
      <c r="X27" s="24">
        <f t="shared" si="11"/>
        <v>0</v>
      </c>
    </row>
    <row r="28">
      <c r="A28" s="22" t="s">
        <v>50</v>
      </c>
      <c r="B28" s="22" t="s">
        <v>207</v>
      </c>
      <c r="C28" s="23">
        <v>331022.0</v>
      </c>
      <c r="D28" s="22" t="s">
        <v>157</v>
      </c>
      <c r="E28" s="24">
        <f t="shared" si="1"/>
        <v>33</v>
      </c>
      <c r="F28" s="24">
        <f t="shared" si="2"/>
        <v>0</v>
      </c>
      <c r="G28" s="23">
        <f t="shared" si="3"/>
        <v>0.5</v>
      </c>
      <c r="H28" s="24">
        <f>VLOOKUP(A28,'Order Report(X)'!$H$1:$I$125,2,FALSE)</f>
        <v>500</v>
      </c>
      <c r="I28" s="24">
        <f t="shared" si="4"/>
        <v>0.5</v>
      </c>
      <c r="J28" s="24">
        <f t="shared" si="5"/>
        <v>500</v>
      </c>
      <c r="K28" s="25" t="str">
        <f>vlookup(C28,'Pincode Zone (X)'!$G$1:$H$109,2,false)</f>
        <v>b</v>
      </c>
      <c r="L28" s="24">
        <f>ifs(K28="a",'Rates (Courier)'!$A$2,K28="b",'Rates (Courier)'!$C$2,K28="c",'Rates (Courier)'!$E$2,K28="d",'Rates (Courier)'!$G$2,K28="e",'Rates (Courier)'!$I$2)</f>
        <v>33</v>
      </c>
      <c r="M28" s="24">
        <f>ifs(K28="a",'Rates (Courier)'!$B$2,K28="b",'Rates (Courier)'!$D$2,K28="c",'Rates (Courier)'!$F$2,K28="d",'Rates (Courier)'!$H$2,K28="e",'Rates (Courier)'!$J$2)</f>
        <v>28.3</v>
      </c>
      <c r="N28" s="24">
        <f>ifs(K28="a",'Rates (Courier)'!$K$2,K28="b",'Rates (Courier)'!$M$2,K28="c",'Rates (Courier)'!$O$2,K28="d",'Rates (Courier)'!$Q$2,K28="e",'Rates (Courier)'!$S$2)</f>
        <v>20.5</v>
      </c>
      <c r="O28" s="24">
        <f>ifs(K28="a",'Rates (Courier)'!$L$2,K28="b",'Rates (Courier)'!$N$2,K28="c",'Rates (Courier)'!$P$2,K28="d",'Rates (Courier)'!$R$2,K28="e",'Rates (Courier)'!$T$2)</f>
        <v>28.3</v>
      </c>
      <c r="P28" s="26">
        <f t="shared" si="6"/>
        <v>33</v>
      </c>
      <c r="Q28" s="23">
        <f>VLOOKUP(B28,'Invoice (Courier)'!$A$1:$C$125,3,FALSE)</f>
        <v>0.69</v>
      </c>
      <c r="R28" s="27">
        <f t="shared" si="7"/>
        <v>1</v>
      </c>
      <c r="S28" s="28" t="str">
        <f>VLOOKUP(B28,'Invoice (Courier)'!$A$1:$F$125,match('Invoice (Courier)'!$F$1,'Invoice (Courier)'!$A$1:$F$1,FALSE),FALSE)</f>
        <v>d</v>
      </c>
      <c r="T28" s="26">
        <f>ROUND((VLOOKUP(B28,'Invoice (Courier)'!$A$1:$H$125,match('Invoice (Courier)'!$H$1,'Invoice (Courier)'!$A$1:$H$1,FALSE),FALSE)),20)</f>
        <v>90.2</v>
      </c>
      <c r="U28" s="26">
        <f t="shared" si="8"/>
        <v>-57.2</v>
      </c>
      <c r="V28" s="24">
        <f t="shared" si="9"/>
        <v>63.41463415</v>
      </c>
      <c r="W28" s="24">
        <f t="shared" si="10"/>
        <v>66</v>
      </c>
      <c r="X28" s="24">
        <f t="shared" si="11"/>
        <v>0</v>
      </c>
    </row>
    <row r="29">
      <c r="A29" s="22" t="s">
        <v>53</v>
      </c>
      <c r="B29" s="22" t="s">
        <v>209</v>
      </c>
      <c r="C29" s="23">
        <v>305801.0</v>
      </c>
      <c r="D29" s="22" t="s">
        <v>157</v>
      </c>
      <c r="E29" s="24">
        <f t="shared" si="1"/>
        <v>33</v>
      </c>
      <c r="F29" s="24">
        <f t="shared" si="2"/>
        <v>0</v>
      </c>
      <c r="G29" s="23">
        <f t="shared" si="3"/>
        <v>0.5</v>
      </c>
      <c r="H29" s="24">
        <f>VLOOKUP(A29,'Order Report(X)'!$H$1:$I$125,2,FALSE)</f>
        <v>500</v>
      </c>
      <c r="I29" s="24">
        <f t="shared" si="4"/>
        <v>0.5</v>
      </c>
      <c r="J29" s="24">
        <f t="shared" si="5"/>
        <v>500</v>
      </c>
      <c r="K29" s="25" t="str">
        <f>vlookup(C29,'Pincode Zone (X)'!$G$1:$H$109,2,false)</f>
        <v>b</v>
      </c>
      <c r="L29" s="24">
        <f>ifs(K29="a",'Rates (Courier)'!$A$2,K29="b",'Rates (Courier)'!$C$2,K29="c",'Rates (Courier)'!$E$2,K29="d",'Rates (Courier)'!$G$2,K29="e",'Rates (Courier)'!$I$2)</f>
        <v>33</v>
      </c>
      <c r="M29" s="24">
        <f>ifs(K29="a",'Rates (Courier)'!$B$2,K29="b",'Rates (Courier)'!$D$2,K29="c",'Rates (Courier)'!$F$2,K29="d",'Rates (Courier)'!$H$2,K29="e",'Rates (Courier)'!$J$2)</f>
        <v>28.3</v>
      </c>
      <c r="N29" s="24">
        <f>ifs(K29="a",'Rates (Courier)'!$K$2,K29="b",'Rates (Courier)'!$M$2,K29="c",'Rates (Courier)'!$O$2,K29="d",'Rates (Courier)'!$Q$2,K29="e",'Rates (Courier)'!$S$2)</f>
        <v>20.5</v>
      </c>
      <c r="O29" s="24">
        <f>ifs(K29="a",'Rates (Courier)'!$L$2,K29="b",'Rates (Courier)'!$N$2,K29="c",'Rates (Courier)'!$P$2,K29="d",'Rates (Courier)'!$R$2,K29="e",'Rates (Courier)'!$T$2)</f>
        <v>28.3</v>
      </c>
      <c r="P29" s="26">
        <f t="shared" si="6"/>
        <v>33</v>
      </c>
      <c r="Q29" s="23">
        <f>VLOOKUP(B29,'Invoice (Courier)'!$A$1:$C$125,3,FALSE)</f>
        <v>0.68</v>
      </c>
      <c r="R29" s="27">
        <f t="shared" si="7"/>
        <v>1</v>
      </c>
      <c r="S29" s="28" t="str">
        <f>VLOOKUP(B29,'Invoice (Courier)'!$A$1:$F$125,match('Invoice (Courier)'!$F$1,'Invoice (Courier)'!$A$1:$F$1,FALSE),FALSE)</f>
        <v>d</v>
      </c>
      <c r="T29" s="26">
        <f>ROUND((VLOOKUP(B29,'Invoice (Courier)'!$A$1:$H$125,match('Invoice (Courier)'!$H$1,'Invoice (Courier)'!$A$1:$H$1,FALSE),FALSE)),20)</f>
        <v>90.2</v>
      </c>
      <c r="U29" s="26">
        <f t="shared" si="8"/>
        <v>-57.2</v>
      </c>
      <c r="V29" s="24">
        <f t="shared" si="9"/>
        <v>63.41463415</v>
      </c>
      <c r="W29" s="24">
        <f t="shared" si="10"/>
        <v>66</v>
      </c>
      <c r="X29" s="24">
        <f t="shared" si="11"/>
        <v>0</v>
      </c>
    </row>
    <row r="30">
      <c r="A30" s="22" t="s">
        <v>54</v>
      </c>
      <c r="B30" s="22" t="s">
        <v>211</v>
      </c>
      <c r="C30" s="23">
        <v>410206.0</v>
      </c>
      <c r="D30" s="22" t="s">
        <v>157</v>
      </c>
      <c r="E30" s="24">
        <f t="shared" si="1"/>
        <v>45.4</v>
      </c>
      <c r="F30" s="24">
        <f t="shared" si="2"/>
        <v>0</v>
      </c>
      <c r="G30" s="23">
        <f t="shared" si="3"/>
        <v>0.5</v>
      </c>
      <c r="H30" s="24">
        <f>VLOOKUP(A30,'Order Report(X)'!$H$1:$I$125,2,FALSE)</f>
        <v>500</v>
      </c>
      <c r="I30" s="24">
        <f t="shared" si="4"/>
        <v>0.5</v>
      </c>
      <c r="J30" s="24">
        <f t="shared" si="5"/>
        <v>500</v>
      </c>
      <c r="K30" s="25" t="str">
        <f>vlookup(C30,'Pincode Zone (X)'!$G$1:$H$109,2,false)</f>
        <v>d</v>
      </c>
      <c r="L30" s="24">
        <f>ifs(K30="a",'Rates (Courier)'!$A$2,K30="b",'Rates (Courier)'!$C$2,K30="c",'Rates (Courier)'!$E$2,K30="d",'Rates (Courier)'!$G$2,K30="e",'Rates (Courier)'!$I$2)</f>
        <v>45.4</v>
      </c>
      <c r="M30" s="24">
        <f>ifs(K30="a",'Rates (Courier)'!$B$2,K30="b",'Rates (Courier)'!$D$2,K30="c",'Rates (Courier)'!$F$2,K30="d",'Rates (Courier)'!$H$2,K30="e",'Rates (Courier)'!$J$2)</f>
        <v>44.8</v>
      </c>
      <c r="N30" s="24">
        <f>ifs(K30="a",'Rates (Courier)'!$K$2,K30="b",'Rates (Courier)'!$M$2,K30="c",'Rates (Courier)'!$O$2,K30="d",'Rates (Courier)'!$Q$2,K30="e",'Rates (Courier)'!$S$2)</f>
        <v>41.3</v>
      </c>
      <c r="O30" s="24">
        <f>ifs(K30="a",'Rates (Courier)'!$L$2,K30="b",'Rates (Courier)'!$N$2,K30="c",'Rates (Courier)'!$P$2,K30="d",'Rates (Courier)'!$R$2,K30="e",'Rates (Courier)'!$T$2)</f>
        <v>44.8</v>
      </c>
      <c r="P30" s="26">
        <f t="shared" si="6"/>
        <v>45.4</v>
      </c>
      <c r="Q30" s="23">
        <f>VLOOKUP(B30,'Invoice (Courier)'!$A$1:$C$125,3,FALSE)</f>
        <v>0.68</v>
      </c>
      <c r="R30" s="27">
        <f t="shared" si="7"/>
        <v>1</v>
      </c>
      <c r="S30" s="28" t="str">
        <f>VLOOKUP(B30,'Invoice (Courier)'!$A$1:$F$125,match('Invoice (Courier)'!$F$1,'Invoice (Courier)'!$A$1:$F$1,FALSE),FALSE)</f>
        <v>d</v>
      </c>
      <c r="T30" s="26">
        <f>ROUND((VLOOKUP(B30,'Invoice (Courier)'!$A$1:$H$125,match('Invoice (Courier)'!$H$1,'Invoice (Courier)'!$A$1:$H$1,FALSE),FALSE)),20)</f>
        <v>90.2</v>
      </c>
      <c r="U30" s="26">
        <f t="shared" si="8"/>
        <v>-44.8</v>
      </c>
      <c r="V30" s="24">
        <f t="shared" si="9"/>
        <v>49.66740576</v>
      </c>
      <c r="W30" s="24">
        <f t="shared" si="10"/>
        <v>90.8</v>
      </c>
      <c r="X30" s="24">
        <f t="shared" si="11"/>
        <v>0</v>
      </c>
    </row>
    <row r="31">
      <c r="A31" s="22" t="s">
        <v>56</v>
      </c>
      <c r="B31" s="22" t="s">
        <v>213</v>
      </c>
      <c r="C31" s="23">
        <v>515591.0</v>
      </c>
      <c r="D31" s="22" t="s">
        <v>157</v>
      </c>
      <c r="E31" s="24">
        <f t="shared" si="1"/>
        <v>45.4</v>
      </c>
      <c r="F31" s="24">
        <f t="shared" si="2"/>
        <v>0</v>
      </c>
      <c r="G31" s="23">
        <f t="shared" si="3"/>
        <v>0.24</v>
      </c>
      <c r="H31" s="24">
        <f>VLOOKUP(A31,'Order Report(X)'!$H$1:$I$125,2,FALSE)</f>
        <v>240</v>
      </c>
      <c r="I31" s="24">
        <f t="shared" si="4"/>
        <v>0.5</v>
      </c>
      <c r="J31" s="24">
        <f t="shared" si="5"/>
        <v>500</v>
      </c>
      <c r="K31" s="25" t="str">
        <f>vlookup(C31,'Pincode Zone (X)'!$G$1:$H$109,2,false)</f>
        <v>d</v>
      </c>
      <c r="L31" s="24">
        <f>ifs(K31="a",'Rates (Courier)'!$A$2,K31="b",'Rates (Courier)'!$C$2,K31="c",'Rates (Courier)'!$E$2,K31="d",'Rates (Courier)'!$G$2,K31="e",'Rates (Courier)'!$I$2)</f>
        <v>45.4</v>
      </c>
      <c r="M31" s="24">
        <f>ifs(K31="a",'Rates (Courier)'!$B$2,K31="b",'Rates (Courier)'!$D$2,K31="c",'Rates (Courier)'!$F$2,K31="d",'Rates (Courier)'!$H$2,K31="e",'Rates (Courier)'!$J$2)</f>
        <v>44.8</v>
      </c>
      <c r="N31" s="24">
        <f>ifs(K31="a",'Rates (Courier)'!$K$2,K31="b",'Rates (Courier)'!$M$2,K31="c",'Rates (Courier)'!$O$2,K31="d",'Rates (Courier)'!$Q$2,K31="e",'Rates (Courier)'!$S$2)</f>
        <v>41.3</v>
      </c>
      <c r="O31" s="24">
        <f>ifs(K31="a",'Rates (Courier)'!$L$2,K31="b",'Rates (Courier)'!$N$2,K31="c",'Rates (Courier)'!$P$2,K31="d",'Rates (Courier)'!$R$2,K31="e",'Rates (Courier)'!$T$2)</f>
        <v>44.8</v>
      </c>
      <c r="P31" s="26">
        <f t="shared" si="6"/>
        <v>45.4</v>
      </c>
      <c r="Q31" s="23">
        <f>VLOOKUP(B31,'Invoice (Courier)'!$A$1:$C$125,3,FALSE)</f>
        <v>0.15</v>
      </c>
      <c r="R31" s="27">
        <f t="shared" si="7"/>
        <v>0.5</v>
      </c>
      <c r="S31" s="28" t="str">
        <f>VLOOKUP(B31,'Invoice (Courier)'!$A$1:$F$125,match('Invoice (Courier)'!$F$1,'Invoice (Courier)'!$A$1:$F$1,FALSE),FALSE)</f>
        <v>d</v>
      </c>
      <c r="T31" s="26">
        <f>ROUND((VLOOKUP(B31,'Invoice (Courier)'!$A$1:$H$125,match('Invoice (Courier)'!$H$1,'Invoice (Courier)'!$A$1:$H$1,FALSE),FALSE)),20)</f>
        <v>45.4</v>
      </c>
      <c r="U31" s="26">
        <f t="shared" si="8"/>
        <v>0</v>
      </c>
      <c r="V31" s="24">
        <f t="shared" si="9"/>
        <v>0</v>
      </c>
      <c r="W31" s="24">
        <f t="shared" si="10"/>
        <v>189.1666667</v>
      </c>
      <c r="X31" s="24">
        <f t="shared" si="11"/>
        <v>0</v>
      </c>
    </row>
    <row r="32">
      <c r="A32" s="22" t="s">
        <v>37</v>
      </c>
      <c r="B32" s="22" t="s">
        <v>215</v>
      </c>
      <c r="C32" s="23">
        <v>326502.0</v>
      </c>
      <c r="D32" s="22" t="s">
        <v>157</v>
      </c>
      <c r="E32" s="24">
        <f t="shared" si="1"/>
        <v>45.4</v>
      </c>
      <c r="F32" s="24">
        <f t="shared" si="2"/>
        <v>0</v>
      </c>
      <c r="G32" s="23">
        <f t="shared" si="3"/>
        <v>0.24</v>
      </c>
      <c r="H32" s="24">
        <f>VLOOKUP(A32,'Order Report(X)'!$H$1:$I$125,2,FALSE)</f>
        <v>240</v>
      </c>
      <c r="I32" s="24">
        <f t="shared" si="4"/>
        <v>0.5</v>
      </c>
      <c r="J32" s="24">
        <f t="shared" si="5"/>
        <v>500</v>
      </c>
      <c r="K32" s="25" t="str">
        <f>vlookup(C32,'Pincode Zone (X)'!$G$1:$H$109,2,false)</f>
        <v>d</v>
      </c>
      <c r="L32" s="24">
        <f>ifs(K32="a",'Rates (Courier)'!$A$2,K32="b",'Rates (Courier)'!$C$2,K32="c",'Rates (Courier)'!$E$2,K32="d",'Rates (Courier)'!$G$2,K32="e",'Rates (Courier)'!$I$2)</f>
        <v>45.4</v>
      </c>
      <c r="M32" s="24">
        <f>ifs(K32="a",'Rates (Courier)'!$B$2,K32="b",'Rates (Courier)'!$D$2,K32="c",'Rates (Courier)'!$F$2,K32="d",'Rates (Courier)'!$H$2,K32="e",'Rates (Courier)'!$J$2)</f>
        <v>44.8</v>
      </c>
      <c r="N32" s="24">
        <f>ifs(K32="a",'Rates (Courier)'!$K$2,K32="b",'Rates (Courier)'!$M$2,K32="c",'Rates (Courier)'!$O$2,K32="d",'Rates (Courier)'!$Q$2,K32="e",'Rates (Courier)'!$S$2)</f>
        <v>41.3</v>
      </c>
      <c r="O32" s="24">
        <f>ifs(K32="a",'Rates (Courier)'!$L$2,K32="b",'Rates (Courier)'!$N$2,K32="c",'Rates (Courier)'!$P$2,K32="d",'Rates (Courier)'!$R$2,K32="e",'Rates (Courier)'!$T$2)</f>
        <v>44.8</v>
      </c>
      <c r="P32" s="26">
        <f t="shared" si="6"/>
        <v>45.4</v>
      </c>
      <c r="Q32" s="23">
        <f>VLOOKUP(B32,'Invoice (Courier)'!$A$1:$C$125,3,FALSE)</f>
        <v>0.15</v>
      </c>
      <c r="R32" s="27">
        <f t="shared" si="7"/>
        <v>0.5</v>
      </c>
      <c r="S32" s="28" t="str">
        <f>VLOOKUP(B32,'Invoice (Courier)'!$A$1:$F$125,match('Invoice (Courier)'!$F$1,'Invoice (Courier)'!$A$1:$F$1,FALSE),FALSE)</f>
        <v>d</v>
      </c>
      <c r="T32" s="26">
        <f>ROUND((VLOOKUP(B32,'Invoice (Courier)'!$A$1:$H$125,match('Invoice (Courier)'!$H$1,'Invoice (Courier)'!$A$1:$H$1,FALSE),FALSE)),20)</f>
        <v>45.4</v>
      </c>
      <c r="U32" s="26">
        <f t="shared" si="8"/>
        <v>0</v>
      </c>
      <c r="V32" s="24">
        <f t="shared" si="9"/>
        <v>0</v>
      </c>
      <c r="W32" s="24">
        <f t="shared" si="10"/>
        <v>189.1666667</v>
      </c>
      <c r="X32" s="24">
        <f t="shared" si="11"/>
        <v>0</v>
      </c>
    </row>
    <row r="33">
      <c r="A33" s="22" t="s">
        <v>51</v>
      </c>
      <c r="B33" s="22" t="s">
        <v>217</v>
      </c>
      <c r="C33" s="23">
        <v>208019.0</v>
      </c>
      <c r="D33" s="22" t="s">
        <v>157</v>
      </c>
      <c r="E33" s="24">
        <f t="shared" si="1"/>
        <v>61.3</v>
      </c>
      <c r="F33" s="24">
        <f t="shared" si="2"/>
        <v>0</v>
      </c>
      <c r="G33" s="23">
        <f t="shared" si="3"/>
        <v>0.84</v>
      </c>
      <c r="H33" s="24">
        <f>VLOOKUP(A33,'Order Report(X)'!$H$1:$I$125,2,FALSE)</f>
        <v>840</v>
      </c>
      <c r="I33" s="24">
        <f t="shared" si="4"/>
        <v>1</v>
      </c>
      <c r="J33" s="24">
        <f t="shared" si="5"/>
        <v>1000</v>
      </c>
      <c r="K33" s="25" t="str">
        <f>vlookup(C33,'Pincode Zone (X)'!$G$1:$H$109,2,false)</f>
        <v>b</v>
      </c>
      <c r="L33" s="24">
        <f>ifs(K33="a",'Rates (Courier)'!$A$2,K33="b",'Rates (Courier)'!$C$2,K33="c",'Rates (Courier)'!$E$2,K33="d",'Rates (Courier)'!$G$2,K33="e",'Rates (Courier)'!$I$2)</f>
        <v>33</v>
      </c>
      <c r="M33" s="24">
        <f>ifs(K33="a",'Rates (Courier)'!$B$2,K33="b",'Rates (Courier)'!$D$2,K33="c",'Rates (Courier)'!$F$2,K33="d",'Rates (Courier)'!$H$2,K33="e",'Rates (Courier)'!$J$2)</f>
        <v>28.3</v>
      </c>
      <c r="N33" s="24">
        <f>ifs(K33="a",'Rates (Courier)'!$K$2,K33="b",'Rates (Courier)'!$M$2,K33="c",'Rates (Courier)'!$O$2,K33="d",'Rates (Courier)'!$Q$2,K33="e",'Rates (Courier)'!$S$2)</f>
        <v>20.5</v>
      </c>
      <c r="O33" s="24">
        <f>ifs(K33="a",'Rates (Courier)'!$L$2,K33="b",'Rates (Courier)'!$N$2,K33="c",'Rates (Courier)'!$P$2,K33="d",'Rates (Courier)'!$R$2,K33="e",'Rates (Courier)'!$T$2)</f>
        <v>28.3</v>
      </c>
      <c r="P33" s="26">
        <f t="shared" si="6"/>
        <v>61.3</v>
      </c>
      <c r="Q33" s="23">
        <f>VLOOKUP(B33,'Invoice (Courier)'!$A$1:$C$125,3,FALSE)</f>
        <v>1</v>
      </c>
      <c r="R33" s="27">
        <f t="shared" si="7"/>
        <v>1</v>
      </c>
      <c r="S33" s="28" t="str">
        <f>VLOOKUP(B33,'Invoice (Courier)'!$A$1:$F$125,match('Invoice (Courier)'!$F$1,'Invoice (Courier)'!$A$1:$F$1,FALSE),FALSE)</f>
        <v>b</v>
      </c>
      <c r="T33" s="26">
        <f>ROUND((VLOOKUP(B33,'Invoice (Courier)'!$A$1:$H$125,match('Invoice (Courier)'!$H$1,'Invoice (Courier)'!$A$1:$H$1,FALSE),FALSE)),20)</f>
        <v>61.3</v>
      </c>
      <c r="U33" s="26">
        <f t="shared" si="8"/>
        <v>0</v>
      </c>
      <c r="V33" s="24">
        <f t="shared" si="9"/>
        <v>0</v>
      </c>
      <c r="W33" s="24">
        <f t="shared" si="10"/>
        <v>72.97619048</v>
      </c>
      <c r="X33" s="24">
        <f t="shared" si="11"/>
        <v>0</v>
      </c>
    </row>
    <row r="34">
      <c r="A34" s="22" t="s">
        <v>57</v>
      </c>
      <c r="B34" s="22" t="s">
        <v>219</v>
      </c>
      <c r="C34" s="23">
        <v>516503.0</v>
      </c>
      <c r="D34" s="22" t="s">
        <v>157</v>
      </c>
      <c r="E34" s="24">
        <f t="shared" si="1"/>
        <v>135</v>
      </c>
      <c r="F34" s="24">
        <f t="shared" si="2"/>
        <v>0</v>
      </c>
      <c r="G34" s="23">
        <f t="shared" si="3"/>
        <v>1.459</v>
      </c>
      <c r="H34" s="24">
        <f>VLOOKUP(A34,'Order Report(X)'!$H$1:$I$125,2,FALSE)</f>
        <v>1459</v>
      </c>
      <c r="I34" s="24">
        <f t="shared" si="4"/>
        <v>1.5</v>
      </c>
      <c r="J34" s="24">
        <f t="shared" si="5"/>
        <v>1500</v>
      </c>
      <c r="K34" s="25" t="str">
        <f>vlookup(C34,'Pincode Zone (X)'!$G$1:$H$109,2,false)</f>
        <v>d</v>
      </c>
      <c r="L34" s="24">
        <f>ifs(K34="a",'Rates (Courier)'!$A$2,K34="b",'Rates (Courier)'!$C$2,K34="c",'Rates (Courier)'!$E$2,K34="d",'Rates (Courier)'!$G$2,K34="e",'Rates (Courier)'!$I$2)</f>
        <v>45.4</v>
      </c>
      <c r="M34" s="24">
        <f>ifs(K34="a",'Rates (Courier)'!$B$2,K34="b",'Rates (Courier)'!$D$2,K34="c",'Rates (Courier)'!$F$2,K34="d",'Rates (Courier)'!$H$2,K34="e",'Rates (Courier)'!$J$2)</f>
        <v>44.8</v>
      </c>
      <c r="N34" s="24">
        <f>ifs(K34="a",'Rates (Courier)'!$K$2,K34="b",'Rates (Courier)'!$M$2,K34="c",'Rates (Courier)'!$O$2,K34="d",'Rates (Courier)'!$Q$2,K34="e",'Rates (Courier)'!$S$2)</f>
        <v>41.3</v>
      </c>
      <c r="O34" s="24">
        <f>ifs(K34="a",'Rates (Courier)'!$L$2,K34="b",'Rates (Courier)'!$N$2,K34="c",'Rates (Courier)'!$P$2,K34="d",'Rates (Courier)'!$R$2,K34="e",'Rates (Courier)'!$T$2)</f>
        <v>44.8</v>
      </c>
      <c r="P34" s="26">
        <f t="shared" si="6"/>
        <v>135</v>
      </c>
      <c r="Q34" s="23">
        <f>VLOOKUP(B34,'Invoice (Courier)'!$A$1:$C$125,3,FALSE)</f>
        <v>1.64</v>
      </c>
      <c r="R34" s="27">
        <f t="shared" si="7"/>
        <v>2</v>
      </c>
      <c r="S34" s="28" t="str">
        <f>VLOOKUP(B34,'Invoice (Courier)'!$A$1:$F$125,match('Invoice (Courier)'!$F$1,'Invoice (Courier)'!$A$1:$F$1,FALSE),FALSE)</f>
        <v>d</v>
      </c>
      <c r="T34" s="26">
        <f>ROUND((VLOOKUP(B34,'Invoice (Courier)'!$A$1:$H$125,match('Invoice (Courier)'!$H$1,'Invoice (Courier)'!$A$1:$H$1,FALSE),FALSE)),20)</f>
        <v>179.8</v>
      </c>
      <c r="U34" s="26">
        <f t="shared" si="8"/>
        <v>-44.8</v>
      </c>
      <c r="V34" s="24">
        <f t="shared" si="9"/>
        <v>24.91657397</v>
      </c>
      <c r="W34" s="24">
        <f t="shared" si="10"/>
        <v>92.52912954</v>
      </c>
      <c r="X34" s="24">
        <f t="shared" si="11"/>
        <v>0</v>
      </c>
    </row>
    <row r="35">
      <c r="A35" s="22" t="s">
        <v>59</v>
      </c>
      <c r="B35" s="22" t="s">
        <v>221</v>
      </c>
      <c r="C35" s="23">
        <v>140301.0</v>
      </c>
      <c r="D35" s="22" t="s">
        <v>157</v>
      </c>
      <c r="E35" s="24">
        <f t="shared" si="1"/>
        <v>89.6</v>
      </c>
      <c r="F35" s="24">
        <f t="shared" si="2"/>
        <v>0</v>
      </c>
      <c r="G35" s="23">
        <f t="shared" si="3"/>
        <v>1.168</v>
      </c>
      <c r="H35" s="24">
        <f>VLOOKUP(A35,'Order Report(X)'!$H$1:$I$125,2,FALSE)</f>
        <v>1168</v>
      </c>
      <c r="I35" s="24">
        <f t="shared" si="4"/>
        <v>1.5</v>
      </c>
      <c r="J35" s="24">
        <f t="shared" si="5"/>
        <v>1500</v>
      </c>
      <c r="K35" s="25" t="str">
        <f>vlookup(C35,'Pincode Zone (X)'!$G$1:$H$109,2,false)</f>
        <v>b</v>
      </c>
      <c r="L35" s="24">
        <f>ifs(K35="a",'Rates (Courier)'!$A$2,K35="b",'Rates (Courier)'!$C$2,K35="c",'Rates (Courier)'!$E$2,K35="d",'Rates (Courier)'!$G$2,K35="e",'Rates (Courier)'!$I$2)</f>
        <v>33</v>
      </c>
      <c r="M35" s="24">
        <f>ifs(K35="a",'Rates (Courier)'!$B$2,K35="b",'Rates (Courier)'!$D$2,K35="c",'Rates (Courier)'!$F$2,K35="d",'Rates (Courier)'!$H$2,K35="e",'Rates (Courier)'!$J$2)</f>
        <v>28.3</v>
      </c>
      <c r="N35" s="24">
        <f>ifs(K35="a",'Rates (Courier)'!$K$2,K35="b",'Rates (Courier)'!$M$2,K35="c",'Rates (Courier)'!$O$2,K35="d",'Rates (Courier)'!$Q$2,K35="e",'Rates (Courier)'!$S$2)</f>
        <v>20.5</v>
      </c>
      <c r="O35" s="24">
        <f>ifs(K35="a",'Rates (Courier)'!$L$2,K35="b",'Rates (Courier)'!$N$2,K35="c",'Rates (Courier)'!$P$2,K35="d",'Rates (Courier)'!$R$2,K35="e",'Rates (Courier)'!$T$2)</f>
        <v>28.3</v>
      </c>
      <c r="P35" s="26">
        <f t="shared" si="6"/>
        <v>89.6</v>
      </c>
      <c r="Q35" s="23">
        <f>VLOOKUP(B35,'Invoice (Courier)'!$A$1:$C$125,3,FALSE)</f>
        <v>1.15</v>
      </c>
      <c r="R35" s="27">
        <f t="shared" si="7"/>
        <v>1.5</v>
      </c>
      <c r="S35" s="28" t="str">
        <f>VLOOKUP(B35,'Invoice (Courier)'!$A$1:$F$125,match('Invoice (Courier)'!$F$1,'Invoice (Courier)'!$A$1:$F$1,FALSE),FALSE)</f>
        <v>b</v>
      </c>
      <c r="T35" s="26">
        <f>ROUND((VLOOKUP(B35,'Invoice (Courier)'!$A$1:$H$125,match('Invoice (Courier)'!$H$1,'Invoice (Courier)'!$A$1:$H$1,FALSE),FALSE)),20)</f>
        <v>89.6</v>
      </c>
      <c r="U35" s="26">
        <f t="shared" si="8"/>
        <v>0</v>
      </c>
      <c r="V35" s="24">
        <f t="shared" si="9"/>
        <v>0</v>
      </c>
      <c r="W35" s="24">
        <f t="shared" si="10"/>
        <v>76.71232877</v>
      </c>
      <c r="X35" s="24">
        <f t="shared" si="11"/>
        <v>0</v>
      </c>
    </row>
    <row r="36">
      <c r="A36" s="22" t="s">
        <v>60</v>
      </c>
      <c r="B36" s="22" t="s">
        <v>223</v>
      </c>
      <c r="C36" s="23">
        <v>742103.0</v>
      </c>
      <c r="D36" s="22" t="s">
        <v>157</v>
      </c>
      <c r="E36" s="24">
        <f t="shared" si="1"/>
        <v>45.4</v>
      </c>
      <c r="F36" s="24">
        <f t="shared" si="2"/>
        <v>0</v>
      </c>
      <c r="G36" s="23">
        <f t="shared" si="3"/>
        <v>0.5</v>
      </c>
      <c r="H36" s="24">
        <f>VLOOKUP(A36,'Order Report(X)'!$H$1:$I$125,2,FALSE)</f>
        <v>500</v>
      </c>
      <c r="I36" s="24">
        <f t="shared" si="4"/>
        <v>0.5</v>
      </c>
      <c r="J36" s="24">
        <f t="shared" si="5"/>
        <v>500</v>
      </c>
      <c r="K36" s="25" t="str">
        <f>vlookup(C36,'Pincode Zone (X)'!$G$1:$H$109,2,false)</f>
        <v>d</v>
      </c>
      <c r="L36" s="24">
        <f>ifs(K36="a",'Rates (Courier)'!$A$2,K36="b",'Rates (Courier)'!$C$2,K36="c",'Rates (Courier)'!$E$2,K36="d",'Rates (Courier)'!$G$2,K36="e",'Rates (Courier)'!$I$2)</f>
        <v>45.4</v>
      </c>
      <c r="M36" s="24">
        <f>ifs(K36="a",'Rates (Courier)'!$B$2,K36="b",'Rates (Courier)'!$D$2,K36="c",'Rates (Courier)'!$F$2,K36="d",'Rates (Courier)'!$H$2,K36="e",'Rates (Courier)'!$J$2)</f>
        <v>44.8</v>
      </c>
      <c r="N36" s="24">
        <f>ifs(K36="a",'Rates (Courier)'!$K$2,K36="b",'Rates (Courier)'!$M$2,K36="c",'Rates (Courier)'!$O$2,K36="d",'Rates (Courier)'!$Q$2,K36="e",'Rates (Courier)'!$S$2)</f>
        <v>41.3</v>
      </c>
      <c r="O36" s="24">
        <f>ifs(K36="a",'Rates (Courier)'!$L$2,K36="b",'Rates (Courier)'!$N$2,K36="c",'Rates (Courier)'!$P$2,K36="d",'Rates (Courier)'!$R$2,K36="e",'Rates (Courier)'!$T$2)</f>
        <v>44.8</v>
      </c>
      <c r="P36" s="26">
        <f t="shared" si="6"/>
        <v>45.4</v>
      </c>
      <c r="Q36" s="23">
        <f>VLOOKUP(B36,'Invoice (Courier)'!$A$1:$C$125,3,FALSE)</f>
        <v>0.67</v>
      </c>
      <c r="R36" s="27">
        <f t="shared" si="7"/>
        <v>1</v>
      </c>
      <c r="S36" s="28" t="str">
        <f>VLOOKUP(B36,'Invoice (Courier)'!$A$1:$F$125,match('Invoice (Courier)'!$F$1,'Invoice (Courier)'!$A$1:$F$1,FALSE),FALSE)</f>
        <v>d</v>
      </c>
      <c r="T36" s="26">
        <f>ROUND((VLOOKUP(B36,'Invoice (Courier)'!$A$1:$H$125,match('Invoice (Courier)'!$H$1,'Invoice (Courier)'!$A$1:$H$1,FALSE),FALSE)),20)</f>
        <v>90.2</v>
      </c>
      <c r="U36" s="26">
        <f t="shared" si="8"/>
        <v>-44.8</v>
      </c>
      <c r="V36" s="24">
        <f t="shared" si="9"/>
        <v>49.66740576</v>
      </c>
      <c r="W36" s="24">
        <f t="shared" si="10"/>
        <v>90.8</v>
      </c>
      <c r="X36" s="24">
        <f t="shared" si="11"/>
        <v>0</v>
      </c>
    </row>
    <row r="37">
      <c r="A37" s="22" t="s">
        <v>61</v>
      </c>
      <c r="B37" s="22" t="s">
        <v>225</v>
      </c>
      <c r="C37" s="23">
        <v>396001.0</v>
      </c>
      <c r="D37" s="22" t="s">
        <v>157</v>
      </c>
      <c r="E37" s="24">
        <f t="shared" si="1"/>
        <v>45.4</v>
      </c>
      <c r="F37" s="24">
        <f t="shared" si="2"/>
        <v>0</v>
      </c>
      <c r="G37" s="23">
        <f t="shared" si="3"/>
        <v>0.5</v>
      </c>
      <c r="H37" s="24">
        <f>VLOOKUP(A37,'Order Report(X)'!$H$1:$I$125,2,FALSE)</f>
        <v>500</v>
      </c>
      <c r="I37" s="24">
        <f t="shared" si="4"/>
        <v>0.5</v>
      </c>
      <c r="J37" s="24">
        <f t="shared" si="5"/>
        <v>500</v>
      </c>
      <c r="K37" s="25" t="str">
        <f>vlookup(C37,'Pincode Zone (X)'!$G$1:$H$109,2,false)</f>
        <v>d</v>
      </c>
      <c r="L37" s="24">
        <f>ifs(K37="a",'Rates (Courier)'!$A$2,K37="b",'Rates (Courier)'!$C$2,K37="c",'Rates (Courier)'!$E$2,K37="d",'Rates (Courier)'!$G$2,K37="e",'Rates (Courier)'!$I$2)</f>
        <v>45.4</v>
      </c>
      <c r="M37" s="24">
        <f>ifs(K37="a",'Rates (Courier)'!$B$2,K37="b",'Rates (Courier)'!$D$2,K37="c",'Rates (Courier)'!$F$2,K37="d",'Rates (Courier)'!$H$2,K37="e",'Rates (Courier)'!$J$2)</f>
        <v>44.8</v>
      </c>
      <c r="N37" s="24">
        <f>ifs(K37="a",'Rates (Courier)'!$K$2,K37="b",'Rates (Courier)'!$M$2,K37="c",'Rates (Courier)'!$O$2,K37="d",'Rates (Courier)'!$Q$2,K37="e",'Rates (Courier)'!$S$2)</f>
        <v>41.3</v>
      </c>
      <c r="O37" s="24">
        <f>ifs(K37="a",'Rates (Courier)'!$L$2,K37="b",'Rates (Courier)'!$N$2,K37="c",'Rates (Courier)'!$P$2,K37="d",'Rates (Courier)'!$R$2,K37="e",'Rates (Courier)'!$T$2)</f>
        <v>44.8</v>
      </c>
      <c r="P37" s="26">
        <f t="shared" si="6"/>
        <v>45.4</v>
      </c>
      <c r="Q37" s="23">
        <f>VLOOKUP(B37,'Invoice (Courier)'!$A$1:$C$125,3,FALSE)</f>
        <v>0.5</v>
      </c>
      <c r="R37" s="27">
        <f t="shared" si="7"/>
        <v>0.5</v>
      </c>
      <c r="S37" s="28" t="str">
        <f>VLOOKUP(B37,'Invoice (Courier)'!$A$1:$F$125,match('Invoice (Courier)'!$F$1,'Invoice (Courier)'!$A$1:$F$1,FALSE),FALSE)</f>
        <v>d</v>
      </c>
      <c r="T37" s="26">
        <f>ROUND((VLOOKUP(B37,'Invoice (Courier)'!$A$1:$H$125,match('Invoice (Courier)'!$H$1,'Invoice (Courier)'!$A$1:$H$1,FALSE),FALSE)),20)</f>
        <v>45.4</v>
      </c>
      <c r="U37" s="26">
        <f t="shared" si="8"/>
        <v>0</v>
      </c>
      <c r="V37" s="24">
        <f t="shared" si="9"/>
        <v>0</v>
      </c>
      <c r="W37" s="24">
        <f t="shared" si="10"/>
        <v>90.8</v>
      </c>
      <c r="X37" s="24">
        <f t="shared" si="11"/>
        <v>0</v>
      </c>
    </row>
    <row r="38">
      <c r="A38" s="22" t="s">
        <v>62</v>
      </c>
      <c r="B38" s="22" t="s">
        <v>227</v>
      </c>
      <c r="C38" s="23">
        <v>341001.0</v>
      </c>
      <c r="D38" s="22" t="s">
        <v>157</v>
      </c>
      <c r="E38" s="24">
        <f t="shared" si="1"/>
        <v>61.3</v>
      </c>
      <c r="F38" s="24">
        <f t="shared" si="2"/>
        <v>0</v>
      </c>
      <c r="G38" s="23">
        <f t="shared" si="3"/>
        <v>0.607</v>
      </c>
      <c r="H38" s="24">
        <f>VLOOKUP(A38,'Order Report(X)'!$H$1:$I$125,2,FALSE)</f>
        <v>607</v>
      </c>
      <c r="I38" s="24">
        <f t="shared" si="4"/>
        <v>1</v>
      </c>
      <c r="J38" s="24">
        <f t="shared" si="5"/>
        <v>1000</v>
      </c>
      <c r="K38" s="25" t="str">
        <f>vlookup(C38,'Pincode Zone (X)'!$G$1:$H$109,2,false)</f>
        <v>b</v>
      </c>
      <c r="L38" s="24">
        <f>ifs(K38="a",'Rates (Courier)'!$A$2,K38="b",'Rates (Courier)'!$C$2,K38="c",'Rates (Courier)'!$E$2,K38="d",'Rates (Courier)'!$G$2,K38="e",'Rates (Courier)'!$I$2)</f>
        <v>33</v>
      </c>
      <c r="M38" s="24">
        <f>ifs(K38="a",'Rates (Courier)'!$B$2,K38="b",'Rates (Courier)'!$D$2,K38="c",'Rates (Courier)'!$F$2,K38="d",'Rates (Courier)'!$H$2,K38="e",'Rates (Courier)'!$J$2)</f>
        <v>28.3</v>
      </c>
      <c r="N38" s="24">
        <f>ifs(K38="a",'Rates (Courier)'!$K$2,K38="b",'Rates (Courier)'!$M$2,K38="c",'Rates (Courier)'!$O$2,K38="d",'Rates (Courier)'!$Q$2,K38="e",'Rates (Courier)'!$S$2)</f>
        <v>20.5</v>
      </c>
      <c r="O38" s="24">
        <f>ifs(K38="a",'Rates (Courier)'!$L$2,K38="b",'Rates (Courier)'!$N$2,K38="c",'Rates (Courier)'!$P$2,K38="d",'Rates (Courier)'!$R$2,K38="e",'Rates (Courier)'!$T$2)</f>
        <v>28.3</v>
      </c>
      <c r="P38" s="26">
        <f t="shared" si="6"/>
        <v>61.3</v>
      </c>
      <c r="Q38" s="23">
        <f>VLOOKUP(B38,'Invoice (Courier)'!$A$1:$C$125,3,FALSE)</f>
        <v>0.79</v>
      </c>
      <c r="R38" s="27">
        <f t="shared" si="7"/>
        <v>1</v>
      </c>
      <c r="S38" s="28" t="str">
        <f>VLOOKUP(B38,'Invoice (Courier)'!$A$1:$F$125,match('Invoice (Courier)'!$F$1,'Invoice (Courier)'!$A$1:$F$1,FALSE),FALSE)</f>
        <v>d</v>
      </c>
      <c r="T38" s="26">
        <f>ROUND((VLOOKUP(B38,'Invoice (Courier)'!$A$1:$H$125,match('Invoice (Courier)'!$H$1,'Invoice (Courier)'!$A$1:$H$1,FALSE),FALSE)),20)</f>
        <v>90.2</v>
      </c>
      <c r="U38" s="26">
        <f t="shared" si="8"/>
        <v>-28.9</v>
      </c>
      <c r="V38" s="24">
        <f t="shared" si="9"/>
        <v>32.03991131</v>
      </c>
      <c r="W38" s="24">
        <f t="shared" si="10"/>
        <v>100.9884679</v>
      </c>
      <c r="X38" s="24">
        <f t="shared" si="11"/>
        <v>0</v>
      </c>
    </row>
    <row r="39">
      <c r="A39" s="22" t="s">
        <v>63</v>
      </c>
      <c r="B39" s="22" t="s">
        <v>229</v>
      </c>
      <c r="C39" s="23">
        <v>711106.0</v>
      </c>
      <c r="D39" s="22" t="s">
        <v>157</v>
      </c>
      <c r="E39" s="24">
        <f t="shared" si="1"/>
        <v>45.4</v>
      </c>
      <c r="F39" s="24">
        <f t="shared" si="2"/>
        <v>0</v>
      </c>
      <c r="G39" s="23">
        <f t="shared" si="3"/>
        <v>0.5</v>
      </c>
      <c r="H39" s="24">
        <f>VLOOKUP(A39,'Order Report(X)'!$H$1:$I$125,2,FALSE)</f>
        <v>500</v>
      </c>
      <c r="I39" s="24">
        <f t="shared" si="4"/>
        <v>0.5</v>
      </c>
      <c r="J39" s="24">
        <f t="shared" si="5"/>
        <v>500</v>
      </c>
      <c r="K39" s="25" t="str">
        <f>vlookup(C39,'Pincode Zone (X)'!$G$1:$H$109,2,false)</f>
        <v>d</v>
      </c>
      <c r="L39" s="24">
        <f>ifs(K39="a",'Rates (Courier)'!$A$2,K39="b",'Rates (Courier)'!$C$2,K39="c",'Rates (Courier)'!$E$2,K39="d",'Rates (Courier)'!$G$2,K39="e",'Rates (Courier)'!$I$2)</f>
        <v>45.4</v>
      </c>
      <c r="M39" s="24">
        <f>ifs(K39="a",'Rates (Courier)'!$B$2,K39="b",'Rates (Courier)'!$D$2,K39="c",'Rates (Courier)'!$F$2,K39="d",'Rates (Courier)'!$H$2,K39="e",'Rates (Courier)'!$J$2)</f>
        <v>44.8</v>
      </c>
      <c r="N39" s="24">
        <f>ifs(K39="a",'Rates (Courier)'!$K$2,K39="b",'Rates (Courier)'!$M$2,K39="c",'Rates (Courier)'!$O$2,K39="d",'Rates (Courier)'!$Q$2,K39="e",'Rates (Courier)'!$S$2)</f>
        <v>41.3</v>
      </c>
      <c r="O39" s="24">
        <f>ifs(K39="a",'Rates (Courier)'!$L$2,K39="b",'Rates (Courier)'!$N$2,K39="c",'Rates (Courier)'!$P$2,K39="d",'Rates (Courier)'!$R$2,K39="e",'Rates (Courier)'!$T$2)</f>
        <v>44.8</v>
      </c>
      <c r="P39" s="26">
        <f t="shared" si="6"/>
        <v>45.4</v>
      </c>
      <c r="Q39" s="23">
        <f>VLOOKUP(B39,'Invoice (Courier)'!$A$1:$C$125,3,FALSE)</f>
        <v>0.5</v>
      </c>
      <c r="R39" s="27">
        <f t="shared" si="7"/>
        <v>0.5</v>
      </c>
      <c r="S39" s="28" t="str">
        <f>VLOOKUP(B39,'Invoice (Courier)'!$A$1:$F$125,match('Invoice (Courier)'!$F$1,'Invoice (Courier)'!$A$1:$F$1,FALSE),FALSE)</f>
        <v>d</v>
      </c>
      <c r="T39" s="26">
        <f>ROUND((VLOOKUP(B39,'Invoice (Courier)'!$A$1:$H$125,match('Invoice (Courier)'!$H$1,'Invoice (Courier)'!$A$1:$H$1,FALSE),FALSE)),20)</f>
        <v>45.4</v>
      </c>
      <c r="U39" s="26">
        <f t="shared" si="8"/>
        <v>0</v>
      </c>
      <c r="V39" s="24">
        <f t="shared" si="9"/>
        <v>0</v>
      </c>
      <c r="W39" s="24">
        <f t="shared" si="10"/>
        <v>90.8</v>
      </c>
      <c r="X39" s="24">
        <f t="shared" si="11"/>
        <v>0</v>
      </c>
    </row>
    <row r="40">
      <c r="A40" s="22" t="s">
        <v>64</v>
      </c>
      <c r="B40" s="22" t="s">
        <v>231</v>
      </c>
      <c r="C40" s="23">
        <v>335502.0</v>
      </c>
      <c r="D40" s="22" t="s">
        <v>157</v>
      </c>
      <c r="E40" s="24">
        <f t="shared" si="1"/>
        <v>33</v>
      </c>
      <c r="F40" s="24">
        <f t="shared" si="2"/>
        <v>0</v>
      </c>
      <c r="G40" s="23">
        <f t="shared" si="3"/>
        <v>0.49</v>
      </c>
      <c r="H40" s="24">
        <f>VLOOKUP(A40,'Order Report(X)'!$H$1:$I$125,2,FALSE)</f>
        <v>490</v>
      </c>
      <c r="I40" s="24">
        <f t="shared" si="4"/>
        <v>0.5</v>
      </c>
      <c r="J40" s="24">
        <f t="shared" si="5"/>
        <v>500</v>
      </c>
      <c r="K40" s="25" t="str">
        <f>vlookup(C40,'Pincode Zone (X)'!$G$1:$H$109,2,false)</f>
        <v>b</v>
      </c>
      <c r="L40" s="24">
        <f>ifs(K40="a",'Rates (Courier)'!$A$2,K40="b",'Rates (Courier)'!$C$2,K40="c",'Rates (Courier)'!$E$2,K40="d",'Rates (Courier)'!$G$2,K40="e",'Rates (Courier)'!$I$2)</f>
        <v>33</v>
      </c>
      <c r="M40" s="24">
        <f>ifs(K40="a",'Rates (Courier)'!$B$2,K40="b",'Rates (Courier)'!$D$2,K40="c",'Rates (Courier)'!$F$2,K40="d",'Rates (Courier)'!$H$2,K40="e",'Rates (Courier)'!$J$2)</f>
        <v>28.3</v>
      </c>
      <c r="N40" s="24">
        <f>ifs(K40="a",'Rates (Courier)'!$K$2,K40="b",'Rates (Courier)'!$M$2,K40="c",'Rates (Courier)'!$O$2,K40="d",'Rates (Courier)'!$Q$2,K40="e",'Rates (Courier)'!$S$2)</f>
        <v>20.5</v>
      </c>
      <c r="O40" s="24">
        <f>ifs(K40="a",'Rates (Courier)'!$L$2,K40="b",'Rates (Courier)'!$N$2,K40="c",'Rates (Courier)'!$P$2,K40="d",'Rates (Courier)'!$R$2,K40="e",'Rates (Courier)'!$T$2)</f>
        <v>28.3</v>
      </c>
      <c r="P40" s="26">
        <f t="shared" si="6"/>
        <v>33</v>
      </c>
      <c r="Q40" s="23">
        <f>VLOOKUP(B40,'Invoice (Courier)'!$A$1:$C$125,3,FALSE)</f>
        <v>2.28</v>
      </c>
      <c r="R40" s="27">
        <f t="shared" si="7"/>
        <v>2.5</v>
      </c>
      <c r="S40" s="28" t="str">
        <f>VLOOKUP(B40,'Invoice (Courier)'!$A$1:$F$125,match('Invoice (Courier)'!$F$1,'Invoice (Courier)'!$A$1:$F$1,FALSE),FALSE)</f>
        <v>d</v>
      </c>
      <c r="T40" s="26">
        <f>ROUND((VLOOKUP(B40,'Invoice (Courier)'!$A$1:$H$125,match('Invoice (Courier)'!$H$1,'Invoice (Courier)'!$A$1:$H$1,FALSE),FALSE)),20)</f>
        <v>224.6</v>
      </c>
      <c r="U40" s="26">
        <f t="shared" si="8"/>
        <v>-191.6</v>
      </c>
      <c r="V40" s="24">
        <f t="shared" si="9"/>
        <v>85.30721282</v>
      </c>
      <c r="W40" s="24">
        <f t="shared" si="10"/>
        <v>67.34693878</v>
      </c>
      <c r="X40" s="24">
        <f t="shared" si="11"/>
        <v>0</v>
      </c>
    </row>
    <row r="41">
      <c r="A41" s="22" t="s">
        <v>66</v>
      </c>
      <c r="B41" s="22" t="s">
        <v>233</v>
      </c>
      <c r="C41" s="23">
        <v>452018.0</v>
      </c>
      <c r="D41" s="22" t="s">
        <v>157</v>
      </c>
      <c r="E41" s="24">
        <f t="shared" si="1"/>
        <v>224.6</v>
      </c>
      <c r="F41" s="24">
        <f t="shared" si="2"/>
        <v>0</v>
      </c>
      <c r="G41" s="23">
        <f t="shared" si="3"/>
        <v>2.016</v>
      </c>
      <c r="H41" s="24">
        <f>VLOOKUP(A41,'Order Report(X)'!$H$1:$I$125,2,FALSE)</f>
        <v>2016</v>
      </c>
      <c r="I41" s="24">
        <f t="shared" si="4"/>
        <v>2.5</v>
      </c>
      <c r="J41" s="24">
        <f t="shared" si="5"/>
        <v>2500</v>
      </c>
      <c r="K41" s="25" t="str">
        <f>vlookup(C41,'Pincode Zone (X)'!$G$1:$H$109,2,false)</f>
        <v>d</v>
      </c>
      <c r="L41" s="24">
        <f>ifs(K41="a",'Rates (Courier)'!$A$2,K41="b",'Rates (Courier)'!$C$2,K41="c",'Rates (Courier)'!$E$2,K41="d",'Rates (Courier)'!$G$2,K41="e",'Rates (Courier)'!$I$2)</f>
        <v>45.4</v>
      </c>
      <c r="M41" s="24">
        <f>ifs(K41="a",'Rates (Courier)'!$B$2,K41="b",'Rates (Courier)'!$D$2,K41="c",'Rates (Courier)'!$F$2,K41="d",'Rates (Courier)'!$H$2,K41="e",'Rates (Courier)'!$J$2)</f>
        <v>44.8</v>
      </c>
      <c r="N41" s="24">
        <f>ifs(K41="a",'Rates (Courier)'!$K$2,K41="b",'Rates (Courier)'!$M$2,K41="c",'Rates (Courier)'!$O$2,K41="d",'Rates (Courier)'!$Q$2,K41="e",'Rates (Courier)'!$S$2)</f>
        <v>41.3</v>
      </c>
      <c r="O41" s="24">
        <f>ifs(K41="a",'Rates (Courier)'!$L$2,K41="b",'Rates (Courier)'!$N$2,K41="c",'Rates (Courier)'!$P$2,K41="d",'Rates (Courier)'!$R$2,K41="e",'Rates (Courier)'!$T$2)</f>
        <v>44.8</v>
      </c>
      <c r="P41" s="26">
        <f t="shared" si="6"/>
        <v>224.6</v>
      </c>
      <c r="Q41" s="23">
        <f>VLOOKUP(B41,'Invoice (Courier)'!$A$1:$C$125,3,FALSE)</f>
        <v>2</v>
      </c>
      <c r="R41" s="27">
        <f t="shared" si="7"/>
        <v>2</v>
      </c>
      <c r="S41" s="28" t="str">
        <f>VLOOKUP(B41,'Invoice (Courier)'!$A$1:$F$125,match('Invoice (Courier)'!$F$1,'Invoice (Courier)'!$A$1:$F$1,FALSE),FALSE)</f>
        <v>d</v>
      </c>
      <c r="T41" s="26">
        <f>ROUND((VLOOKUP(B41,'Invoice (Courier)'!$A$1:$H$125,match('Invoice (Courier)'!$H$1,'Invoice (Courier)'!$A$1:$H$1,FALSE),FALSE)),20)</f>
        <v>179.8</v>
      </c>
      <c r="U41" s="26">
        <f t="shared" si="8"/>
        <v>44.8</v>
      </c>
      <c r="V41" s="24">
        <f t="shared" si="9"/>
        <v>-24.91657397</v>
      </c>
      <c r="W41" s="24">
        <f t="shared" si="10"/>
        <v>111.4087302</v>
      </c>
      <c r="X41" s="24">
        <f t="shared" si="11"/>
        <v>0</v>
      </c>
    </row>
    <row r="42">
      <c r="A42" s="22" t="s">
        <v>68</v>
      </c>
      <c r="B42" s="22" t="s">
        <v>235</v>
      </c>
      <c r="C42" s="23">
        <v>208001.0</v>
      </c>
      <c r="D42" s="22" t="s">
        <v>157</v>
      </c>
      <c r="E42" s="24">
        <f t="shared" si="1"/>
        <v>89.6</v>
      </c>
      <c r="F42" s="24">
        <f t="shared" si="2"/>
        <v>0</v>
      </c>
      <c r="G42" s="23">
        <f t="shared" si="3"/>
        <v>1.048</v>
      </c>
      <c r="H42" s="24">
        <f>VLOOKUP(A42,'Order Report(X)'!$H$1:$I$125,2,FALSE)</f>
        <v>1048</v>
      </c>
      <c r="I42" s="24">
        <f t="shared" si="4"/>
        <v>1.5</v>
      </c>
      <c r="J42" s="24">
        <f t="shared" si="5"/>
        <v>1500</v>
      </c>
      <c r="K42" s="25" t="str">
        <f>vlookup(C42,'Pincode Zone (X)'!$G$1:$H$109,2,false)</f>
        <v>b</v>
      </c>
      <c r="L42" s="24">
        <f>ifs(K42="a",'Rates (Courier)'!$A$2,K42="b",'Rates (Courier)'!$C$2,K42="c",'Rates (Courier)'!$E$2,K42="d",'Rates (Courier)'!$G$2,K42="e",'Rates (Courier)'!$I$2)</f>
        <v>33</v>
      </c>
      <c r="M42" s="24">
        <f>ifs(K42="a",'Rates (Courier)'!$B$2,K42="b",'Rates (Courier)'!$D$2,K42="c",'Rates (Courier)'!$F$2,K42="d",'Rates (Courier)'!$H$2,K42="e",'Rates (Courier)'!$J$2)</f>
        <v>28.3</v>
      </c>
      <c r="N42" s="24">
        <f>ifs(K42="a",'Rates (Courier)'!$K$2,K42="b",'Rates (Courier)'!$M$2,K42="c",'Rates (Courier)'!$O$2,K42="d",'Rates (Courier)'!$Q$2,K42="e",'Rates (Courier)'!$S$2)</f>
        <v>20.5</v>
      </c>
      <c r="O42" s="24">
        <f>ifs(K42="a",'Rates (Courier)'!$L$2,K42="b",'Rates (Courier)'!$N$2,K42="c",'Rates (Courier)'!$P$2,K42="d",'Rates (Courier)'!$R$2,K42="e",'Rates (Courier)'!$T$2)</f>
        <v>28.3</v>
      </c>
      <c r="P42" s="26">
        <f t="shared" si="6"/>
        <v>89.6</v>
      </c>
      <c r="Q42" s="23">
        <f>VLOOKUP(B42,'Invoice (Courier)'!$A$1:$C$125,3,FALSE)</f>
        <v>1</v>
      </c>
      <c r="R42" s="27">
        <f t="shared" si="7"/>
        <v>1</v>
      </c>
      <c r="S42" s="28" t="str">
        <f>VLOOKUP(B42,'Invoice (Courier)'!$A$1:$F$125,match('Invoice (Courier)'!$F$1,'Invoice (Courier)'!$A$1:$F$1,FALSE),FALSE)</f>
        <v>b</v>
      </c>
      <c r="T42" s="26">
        <f>ROUND((VLOOKUP(B42,'Invoice (Courier)'!$A$1:$H$125,match('Invoice (Courier)'!$H$1,'Invoice (Courier)'!$A$1:$H$1,FALSE),FALSE)),20)</f>
        <v>61.3</v>
      </c>
      <c r="U42" s="26">
        <f t="shared" si="8"/>
        <v>28.3</v>
      </c>
      <c r="V42" s="24">
        <f t="shared" si="9"/>
        <v>-46.16639478</v>
      </c>
      <c r="W42" s="24">
        <f t="shared" si="10"/>
        <v>85.49618321</v>
      </c>
      <c r="X42" s="24">
        <f t="shared" si="11"/>
        <v>0</v>
      </c>
    </row>
    <row r="43">
      <c r="A43" s="22" t="s">
        <v>71</v>
      </c>
      <c r="B43" s="22" t="s">
        <v>237</v>
      </c>
      <c r="C43" s="23">
        <v>306116.0</v>
      </c>
      <c r="D43" s="22" t="s">
        <v>157</v>
      </c>
      <c r="E43" s="24">
        <f t="shared" si="1"/>
        <v>33</v>
      </c>
      <c r="F43" s="24">
        <f t="shared" si="2"/>
        <v>0</v>
      </c>
      <c r="G43" s="23">
        <f t="shared" si="3"/>
        <v>0.5</v>
      </c>
      <c r="H43" s="24">
        <f>VLOOKUP(A43,'Order Report(X)'!$H$1:$I$125,2,FALSE)</f>
        <v>500</v>
      </c>
      <c r="I43" s="24">
        <f t="shared" si="4"/>
        <v>0.5</v>
      </c>
      <c r="J43" s="24">
        <f t="shared" si="5"/>
        <v>500</v>
      </c>
      <c r="K43" s="25" t="str">
        <f>vlookup(C43,'Pincode Zone (X)'!$G$1:$H$109,2,false)</f>
        <v>b</v>
      </c>
      <c r="L43" s="24">
        <f>ifs(K43="a",'Rates (Courier)'!$A$2,K43="b",'Rates (Courier)'!$C$2,K43="c",'Rates (Courier)'!$E$2,K43="d",'Rates (Courier)'!$G$2,K43="e",'Rates (Courier)'!$I$2)</f>
        <v>33</v>
      </c>
      <c r="M43" s="24">
        <f>ifs(K43="a",'Rates (Courier)'!$B$2,K43="b",'Rates (Courier)'!$D$2,K43="c",'Rates (Courier)'!$F$2,K43="d",'Rates (Courier)'!$H$2,K43="e",'Rates (Courier)'!$J$2)</f>
        <v>28.3</v>
      </c>
      <c r="N43" s="24">
        <f>ifs(K43="a",'Rates (Courier)'!$K$2,K43="b",'Rates (Courier)'!$M$2,K43="c",'Rates (Courier)'!$O$2,K43="d",'Rates (Courier)'!$Q$2,K43="e",'Rates (Courier)'!$S$2)</f>
        <v>20.5</v>
      </c>
      <c r="O43" s="24">
        <f>ifs(K43="a",'Rates (Courier)'!$L$2,K43="b",'Rates (Courier)'!$N$2,K43="c",'Rates (Courier)'!$P$2,K43="d",'Rates (Courier)'!$R$2,K43="e",'Rates (Courier)'!$T$2)</f>
        <v>28.3</v>
      </c>
      <c r="P43" s="26">
        <f t="shared" si="6"/>
        <v>33</v>
      </c>
      <c r="Q43" s="23">
        <f>VLOOKUP(B43,'Invoice (Courier)'!$A$1:$C$125,3,FALSE)</f>
        <v>0.68</v>
      </c>
      <c r="R43" s="27">
        <f t="shared" si="7"/>
        <v>1</v>
      </c>
      <c r="S43" s="28" t="str">
        <f>VLOOKUP(B43,'Invoice (Courier)'!$A$1:$F$125,match('Invoice (Courier)'!$F$1,'Invoice (Courier)'!$A$1:$F$1,FALSE),FALSE)</f>
        <v>d</v>
      </c>
      <c r="T43" s="26">
        <f>ROUND((VLOOKUP(B43,'Invoice (Courier)'!$A$1:$H$125,match('Invoice (Courier)'!$H$1,'Invoice (Courier)'!$A$1:$H$1,FALSE),FALSE)),20)</f>
        <v>90.2</v>
      </c>
      <c r="U43" s="26">
        <f t="shared" si="8"/>
        <v>-57.2</v>
      </c>
      <c r="V43" s="24">
        <f t="shared" si="9"/>
        <v>63.41463415</v>
      </c>
      <c r="W43" s="24">
        <f t="shared" si="10"/>
        <v>66</v>
      </c>
      <c r="X43" s="24">
        <f t="shared" si="11"/>
        <v>0</v>
      </c>
    </row>
    <row r="44">
      <c r="A44" s="22" t="s">
        <v>73</v>
      </c>
      <c r="B44" s="22" t="s">
        <v>239</v>
      </c>
      <c r="C44" s="23">
        <v>284001.0</v>
      </c>
      <c r="D44" s="22" t="s">
        <v>157</v>
      </c>
      <c r="E44" s="24">
        <f t="shared" si="1"/>
        <v>61.3</v>
      </c>
      <c r="F44" s="24">
        <f t="shared" si="2"/>
        <v>0</v>
      </c>
      <c r="G44" s="23">
        <f t="shared" si="3"/>
        <v>0.607</v>
      </c>
      <c r="H44" s="24">
        <f>VLOOKUP(A44,'Order Report(X)'!$H$1:$I$125,2,FALSE)</f>
        <v>607</v>
      </c>
      <c r="I44" s="24">
        <f t="shared" si="4"/>
        <v>1</v>
      </c>
      <c r="J44" s="24">
        <f t="shared" si="5"/>
        <v>1000</v>
      </c>
      <c r="K44" s="25" t="str">
        <f>vlookup(C44,'Pincode Zone (X)'!$G$1:$H$109,2,false)</f>
        <v>b</v>
      </c>
      <c r="L44" s="24">
        <f>ifs(K44="a",'Rates (Courier)'!$A$2,K44="b",'Rates (Courier)'!$C$2,K44="c",'Rates (Courier)'!$E$2,K44="d",'Rates (Courier)'!$G$2,K44="e",'Rates (Courier)'!$I$2)</f>
        <v>33</v>
      </c>
      <c r="M44" s="24">
        <f>ifs(K44="a",'Rates (Courier)'!$B$2,K44="b",'Rates (Courier)'!$D$2,K44="c",'Rates (Courier)'!$F$2,K44="d",'Rates (Courier)'!$H$2,K44="e",'Rates (Courier)'!$J$2)</f>
        <v>28.3</v>
      </c>
      <c r="N44" s="24">
        <f>ifs(K44="a",'Rates (Courier)'!$K$2,K44="b",'Rates (Courier)'!$M$2,K44="c",'Rates (Courier)'!$O$2,K44="d",'Rates (Courier)'!$Q$2,K44="e",'Rates (Courier)'!$S$2)</f>
        <v>20.5</v>
      </c>
      <c r="O44" s="24">
        <f>ifs(K44="a",'Rates (Courier)'!$L$2,K44="b",'Rates (Courier)'!$N$2,K44="c",'Rates (Courier)'!$P$2,K44="d",'Rates (Courier)'!$R$2,K44="e",'Rates (Courier)'!$T$2)</f>
        <v>28.3</v>
      </c>
      <c r="P44" s="26">
        <f t="shared" si="6"/>
        <v>61.3</v>
      </c>
      <c r="Q44" s="23">
        <f>VLOOKUP(B44,'Invoice (Courier)'!$A$1:$C$125,3,FALSE)</f>
        <v>0.79</v>
      </c>
      <c r="R44" s="27">
        <f t="shared" si="7"/>
        <v>1</v>
      </c>
      <c r="S44" s="28" t="str">
        <f>VLOOKUP(B44,'Invoice (Courier)'!$A$1:$F$125,match('Invoice (Courier)'!$F$1,'Invoice (Courier)'!$A$1:$F$1,FALSE),FALSE)</f>
        <v>b</v>
      </c>
      <c r="T44" s="26">
        <f>ROUND((VLOOKUP(B44,'Invoice (Courier)'!$A$1:$H$125,match('Invoice (Courier)'!$H$1,'Invoice (Courier)'!$A$1:$H$1,FALSE),FALSE)),20)</f>
        <v>61.3</v>
      </c>
      <c r="U44" s="26">
        <f t="shared" si="8"/>
        <v>0</v>
      </c>
      <c r="V44" s="24">
        <f t="shared" si="9"/>
        <v>0</v>
      </c>
      <c r="W44" s="24">
        <f t="shared" si="10"/>
        <v>100.9884679</v>
      </c>
      <c r="X44" s="24">
        <f t="shared" si="11"/>
        <v>0</v>
      </c>
    </row>
    <row r="45">
      <c r="A45" s="22" t="s">
        <v>74</v>
      </c>
      <c r="B45" s="22" t="s">
        <v>241</v>
      </c>
      <c r="C45" s="23">
        <v>311001.0</v>
      </c>
      <c r="D45" s="22" t="s">
        <v>157</v>
      </c>
      <c r="E45" s="24">
        <f t="shared" si="1"/>
        <v>33</v>
      </c>
      <c r="F45" s="24">
        <f t="shared" si="2"/>
        <v>0</v>
      </c>
      <c r="G45" s="23">
        <f t="shared" si="3"/>
        <v>0.5</v>
      </c>
      <c r="H45" s="24">
        <f>VLOOKUP(A45,'Order Report(X)'!$H$1:$I$125,2,FALSE)</f>
        <v>500</v>
      </c>
      <c r="I45" s="24">
        <f t="shared" si="4"/>
        <v>0.5</v>
      </c>
      <c r="J45" s="24">
        <f t="shared" si="5"/>
        <v>500</v>
      </c>
      <c r="K45" s="25" t="str">
        <f>vlookup(C45,'Pincode Zone (X)'!$G$1:$H$109,2,false)</f>
        <v>b</v>
      </c>
      <c r="L45" s="24">
        <f>ifs(K45="a",'Rates (Courier)'!$A$2,K45="b",'Rates (Courier)'!$C$2,K45="c",'Rates (Courier)'!$E$2,K45="d",'Rates (Courier)'!$G$2,K45="e",'Rates (Courier)'!$I$2)</f>
        <v>33</v>
      </c>
      <c r="M45" s="24">
        <f>ifs(K45="a",'Rates (Courier)'!$B$2,K45="b",'Rates (Courier)'!$D$2,K45="c",'Rates (Courier)'!$F$2,K45="d",'Rates (Courier)'!$H$2,K45="e",'Rates (Courier)'!$J$2)</f>
        <v>28.3</v>
      </c>
      <c r="N45" s="24">
        <f>ifs(K45="a",'Rates (Courier)'!$K$2,K45="b",'Rates (Courier)'!$M$2,K45="c",'Rates (Courier)'!$O$2,K45="d",'Rates (Courier)'!$Q$2,K45="e",'Rates (Courier)'!$S$2)</f>
        <v>20.5</v>
      </c>
      <c r="O45" s="24">
        <f>ifs(K45="a",'Rates (Courier)'!$L$2,K45="b",'Rates (Courier)'!$N$2,K45="c",'Rates (Courier)'!$P$2,K45="d",'Rates (Courier)'!$R$2,K45="e",'Rates (Courier)'!$T$2)</f>
        <v>28.3</v>
      </c>
      <c r="P45" s="26">
        <f t="shared" si="6"/>
        <v>33</v>
      </c>
      <c r="Q45" s="23">
        <f>VLOOKUP(B45,'Invoice (Courier)'!$A$1:$C$125,3,FALSE)</f>
        <v>0.74</v>
      </c>
      <c r="R45" s="27">
        <f t="shared" si="7"/>
        <v>1</v>
      </c>
      <c r="S45" s="28" t="str">
        <f>VLOOKUP(B45,'Invoice (Courier)'!$A$1:$F$125,match('Invoice (Courier)'!$F$1,'Invoice (Courier)'!$A$1:$F$1,FALSE),FALSE)</f>
        <v>d</v>
      </c>
      <c r="T45" s="26">
        <f>ROUND((VLOOKUP(B45,'Invoice (Courier)'!$A$1:$H$125,match('Invoice (Courier)'!$H$1,'Invoice (Courier)'!$A$1:$H$1,FALSE),FALSE)),20)</f>
        <v>90.2</v>
      </c>
      <c r="U45" s="26">
        <f t="shared" si="8"/>
        <v>-57.2</v>
      </c>
      <c r="V45" s="24">
        <f t="shared" si="9"/>
        <v>63.41463415</v>
      </c>
      <c r="W45" s="24">
        <f t="shared" si="10"/>
        <v>66</v>
      </c>
      <c r="X45" s="24">
        <f t="shared" si="11"/>
        <v>0</v>
      </c>
    </row>
    <row r="46">
      <c r="A46" s="22" t="s">
        <v>77</v>
      </c>
      <c r="B46" s="22" t="s">
        <v>243</v>
      </c>
      <c r="C46" s="23">
        <v>441601.0</v>
      </c>
      <c r="D46" s="22" t="s">
        <v>157</v>
      </c>
      <c r="E46" s="24">
        <f t="shared" si="1"/>
        <v>90.2</v>
      </c>
      <c r="F46" s="24">
        <f t="shared" si="2"/>
        <v>0</v>
      </c>
      <c r="G46" s="23">
        <f t="shared" si="3"/>
        <v>0.607</v>
      </c>
      <c r="H46" s="24">
        <f>VLOOKUP(A46,'Order Report(X)'!$H$1:$I$125,2,FALSE)</f>
        <v>607</v>
      </c>
      <c r="I46" s="24">
        <f t="shared" si="4"/>
        <v>1</v>
      </c>
      <c r="J46" s="24">
        <f t="shared" si="5"/>
        <v>1000</v>
      </c>
      <c r="K46" s="25" t="str">
        <f>vlookup(C46,'Pincode Zone (X)'!$G$1:$H$109,2,false)</f>
        <v>d</v>
      </c>
      <c r="L46" s="24">
        <f>ifs(K46="a",'Rates (Courier)'!$A$2,K46="b",'Rates (Courier)'!$C$2,K46="c",'Rates (Courier)'!$E$2,K46="d",'Rates (Courier)'!$G$2,K46="e",'Rates (Courier)'!$I$2)</f>
        <v>45.4</v>
      </c>
      <c r="M46" s="24">
        <f>ifs(K46="a",'Rates (Courier)'!$B$2,K46="b",'Rates (Courier)'!$D$2,K46="c",'Rates (Courier)'!$F$2,K46="d",'Rates (Courier)'!$H$2,K46="e",'Rates (Courier)'!$J$2)</f>
        <v>44.8</v>
      </c>
      <c r="N46" s="24">
        <f>ifs(K46="a",'Rates (Courier)'!$K$2,K46="b",'Rates (Courier)'!$M$2,K46="c",'Rates (Courier)'!$O$2,K46="d",'Rates (Courier)'!$Q$2,K46="e",'Rates (Courier)'!$S$2)</f>
        <v>41.3</v>
      </c>
      <c r="O46" s="24">
        <f>ifs(K46="a",'Rates (Courier)'!$L$2,K46="b",'Rates (Courier)'!$N$2,K46="c",'Rates (Courier)'!$P$2,K46="d",'Rates (Courier)'!$R$2,K46="e",'Rates (Courier)'!$T$2)</f>
        <v>44.8</v>
      </c>
      <c r="P46" s="26">
        <f t="shared" si="6"/>
        <v>90.2</v>
      </c>
      <c r="Q46" s="23">
        <f>VLOOKUP(B46,'Invoice (Courier)'!$A$1:$C$125,3,FALSE)</f>
        <v>0.72</v>
      </c>
      <c r="R46" s="27">
        <f t="shared" si="7"/>
        <v>1</v>
      </c>
      <c r="S46" s="28" t="str">
        <f>VLOOKUP(B46,'Invoice (Courier)'!$A$1:$F$125,match('Invoice (Courier)'!$F$1,'Invoice (Courier)'!$A$1:$F$1,FALSE),FALSE)</f>
        <v>d</v>
      </c>
      <c r="T46" s="26">
        <f>ROUND((VLOOKUP(B46,'Invoice (Courier)'!$A$1:$H$125,match('Invoice (Courier)'!$H$1,'Invoice (Courier)'!$A$1:$H$1,FALSE),FALSE)),20)</f>
        <v>90.2</v>
      </c>
      <c r="U46" s="26">
        <f t="shared" si="8"/>
        <v>0</v>
      </c>
      <c r="V46" s="24">
        <f t="shared" si="9"/>
        <v>0</v>
      </c>
      <c r="W46" s="24">
        <f t="shared" si="10"/>
        <v>148.5996705</v>
      </c>
      <c r="X46" s="24">
        <f t="shared" si="11"/>
        <v>0</v>
      </c>
    </row>
    <row r="47">
      <c r="A47" s="22" t="s">
        <v>78</v>
      </c>
      <c r="B47" s="22" t="s">
        <v>245</v>
      </c>
      <c r="C47" s="23">
        <v>248006.0</v>
      </c>
      <c r="D47" s="22" t="s">
        <v>157</v>
      </c>
      <c r="E47" s="24">
        <f t="shared" si="1"/>
        <v>89.6</v>
      </c>
      <c r="F47" s="24">
        <f t="shared" si="2"/>
        <v>0</v>
      </c>
      <c r="G47" s="23">
        <f t="shared" si="3"/>
        <v>1.08</v>
      </c>
      <c r="H47" s="24">
        <f>VLOOKUP(A47,'Order Report(X)'!$H$1:$I$125,2,FALSE)</f>
        <v>1080</v>
      </c>
      <c r="I47" s="24">
        <f t="shared" si="4"/>
        <v>1.5</v>
      </c>
      <c r="J47" s="24">
        <f t="shared" si="5"/>
        <v>1500</v>
      </c>
      <c r="K47" s="25" t="str">
        <f>vlookup(C47,'Pincode Zone (X)'!$G$1:$H$109,2,false)</f>
        <v>b</v>
      </c>
      <c r="L47" s="24">
        <f>ifs(K47="a",'Rates (Courier)'!$A$2,K47="b",'Rates (Courier)'!$C$2,K47="c",'Rates (Courier)'!$E$2,K47="d",'Rates (Courier)'!$G$2,K47="e",'Rates (Courier)'!$I$2)</f>
        <v>33</v>
      </c>
      <c r="M47" s="24">
        <f>ifs(K47="a",'Rates (Courier)'!$B$2,K47="b",'Rates (Courier)'!$D$2,K47="c",'Rates (Courier)'!$F$2,K47="d",'Rates (Courier)'!$H$2,K47="e",'Rates (Courier)'!$J$2)</f>
        <v>28.3</v>
      </c>
      <c r="N47" s="24">
        <f>ifs(K47="a",'Rates (Courier)'!$K$2,K47="b",'Rates (Courier)'!$M$2,K47="c",'Rates (Courier)'!$O$2,K47="d",'Rates (Courier)'!$Q$2,K47="e",'Rates (Courier)'!$S$2)</f>
        <v>20.5</v>
      </c>
      <c r="O47" s="24">
        <f>ifs(K47="a",'Rates (Courier)'!$L$2,K47="b",'Rates (Courier)'!$N$2,K47="c",'Rates (Courier)'!$P$2,K47="d",'Rates (Courier)'!$R$2,K47="e",'Rates (Courier)'!$T$2)</f>
        <v>28.3</v>
      </c>
      <c r="P47" s="26">
        <f t="shared" si="6"/>
        <v>89.6</v>
      </c>
      <c r="Q47" s="23">
        <f>VLOOKUP(B47,'Invoice (Courier)'!$A$1:$C$125,3,FALSE)</f>
        <v>1.08</v>
      </c>
      <c r="R47" s="27">
        <f t="shared" si="7"/>
        <v>1.5</v>
      </c>
      <c r="S47" s="28" t="str">
        <f>VLOOKUP(B47,'Invoice (Courier)'!$A$1:$F$125,match('Invoice (Courier)'!$F$1,'Invoice (Courier)'!$A$1:$F$1,FALSE),FALSE)</f>
        <v>b</v>
      </c>
      <c r="T47" s="26">
        <f>ROUND((VLOOKUP(B47,'Invoice (Courier)'!$A$1:$H$125,match('Invoice (Courier)'!$H$1,'Invoice (Courier)'!$A$1:$H$1,FALSE),FALSE)),20)</f>
        <v>89.6</v>
      </c>
      <c r="U47" s="26">
        <f t="shared" si="8"/>
        <v>0</v>
      </c>
      <c r="V47" s="24">
        <f t="shared" si="9"/>
        <v>0</v>
      </c>
      <c r="W47" s="24">
        <f t="shared" si="10"/>
        <v>82.96296296</v>
      </c>
      <c r="X47" s="24">
        <f t="shared" si="11"/>
        <v>0</v>
      </c>
    </row>
    <row r="48">
      <c r="A48" s="22" t="s">
        <v>79</v>
      </c>
      <c r="B48" s="22" t="s">
        <v>247</v>
      </c>
      <c r="C48" s="23">
        <v>485001.0</v>
      </c>
      <c r="D48" s="22" t="s">
        <v>157</v>
      </c>
      <c r="E48" s="24">
        <f t="shared" si="1"/>
        <v>90.2</v>
      </c>
      <c r="F48" s="24">
        <f t="shared" si="2"/>
        <v>0</v>
      </c>
      <c r="G48" s="23">
        <f t="shared" si="3"/>
        <v>0.93</v>
      </c>
      <c r="H48" s="24">
        <f>VLOOKUP(A48,'Order Report(X)'!$H$1:$I$125,2,FALSE)</f>
        <v>930</v>
      </c>
      <c r="I48" s="24">
        <f t="shared" si="4"/>
        <v>1</v>
      </c>
      <c r="J48" s="24">
        <f t="shared" si="5"/>
        <v>1000</v>
      </c>
      <c r="K48" s="25" t="str">
        <f>vlookup(C48,'Pincode Zone (X)'!$G$1:$H$109,2,false)</f>
        <v>d</v>
      </c>
      <c r="L48" s="24">
        <f>ifs(K48="a",'Rates (Courier)'!$A$2,K48="b",'Rates (Courier)'!$C$2,K48="c",'Rates (Courier)'!$E$2,K48="d",'Rates (Courier)'!$G$2,K48="e",'Rates (Courier)'!$I$2)</f>
        <v>45.4</v>
      </c>
      <c r="M48" s="24">
        <f>ifs(K48="a",'Rates (Courier)'!$B$2,K48="b",'Rates (Courier)'!$D$2,K48="c",'Rates (Courier)'!$F$2,K48="d",'Rates (Courier)'!$H$2,K48="e",'Rates (Courier)'!$J$2)</f>
        <v>44.8</v>
      </c>
      <c r="N48" s="24">
        <f>ifs(K48="a",'Rates (Courier)'!$K$2,K48="b",'Rates (Courier)'!$M$2,K48="c",'Rates (Courier)'!$O$2,K48="d",'Rates (Courier)'!$Q$2,K48="e",'Rates (Courier)'!$S$2)</f>
        <v>41.3</v>
      </c>
      <c r="O48" s="24">
        <f>ifs(K48="a",'Rates (Courier)'!$L$2,K48="b",'Rates (Courier)'!$N$2,K48="c",'Rates (Courier)'!$P$2,K48="d",'Rates (Courier)'!$R$2,K48="e",'Rates (Courier)'!$T$2)</f>
        <v>44.8</v>
      </c>
      <c r="P48" s="26">
        <f t="shared" si="6"/>
        <v>90.2</v>
      </c>
      <c r="Q48" s="23">
        <f>VLOOKUP(B48,'Invoice (Courier)'!$A$1:$C$125,3,FALSE)</f>
        <v>1</v>
      </c>
      <c r="R48" s="27">
        <f t="shared" si="7"/>
        <v>1</v>
      </c>
      <c r="S48" s="28" t="str">
        <f>VLOOKUP(B48,'Invoice (Courier)'!$A$1:$F$125,match('Invoice (Courier)'!$F$1,'Invoice (Courier)'!$A$1:$F$1,FALSE),FALSE)</f>
        <v>d</v>
      </c>
      <c r="T48" s="26">
        <f>ROUND((VLOOKUP(B48,'Invoice (Courier)'!$A$1:$H$125,match('Invoice (Courier)'!$H$1,'Invoice (Courier)'!$A$1:$H$1,FALSE),FALSE)),20)</f>
        <v>90.2</v>
      </c>
      <c r="U48" s="26">
        <f t="shared" si="8"/>
        <v>0</v>
      </c>
      <c r="V48" s="24">
        <f t="shared" si="9"/>
        <v>0</v>
      </c>
      <c r="W48" s="24">
        <f t="shared" si="10"/>
        <v>96.98924731</v>
      </c>
      <c r="X48" s="24">
        <f t="shared" si="11"/>
        <v>0</v>
      </c>
    </row>
    <row r="49">
      <c r="A49" s="22" t="s">
        <v>81</v>
      </c>
      <c r="B49" s="22" t="s">
        <v>249</v>
      </c>
      <c r="C49" s="23">
        <v>302019.0</v>
      </c>
      <c r="D49" s="22" t="s">
        <v>157</v>
      </c>
      <c r="E49" s="24">
        <f t="shared" si="1"/>
        <v>61.3</v>
      </c>
      <c r="F49" s="24">
        <f t="shared" si="2"/>
        <v>0</v>
      </c>
      <c r="G49" s="23">
        <f t="shared" si="3"/>
        <v>0.765</v>
      </c>
      <c r="H49" s="24">
        <f>VLOOKUP(A49,'Order Report(X)'!$H$1:$I$125,2,FALSE)</f>
        <v>765</v>
      </c>
      <c r="I49" s="24">
        <f t="shared" si="4"/>
        <v>1</v>
      </c>
      <c r="J49" s="24">
        <f t="shared" si="5"/>
        <v>1000</v>
      </c>
      <c r="K49" s="25" t="str">
        <f>vlookup(C49,'Pincode Zone (X)'!$G$1:$H$109,2,false)</f>
        <v>b</v>
      </c>
      <c r="L49" s="24">
        <f>ifs(K49="a",'Rates (Courier)'!$A$2,K49="b",'Rates (Courier)'!$C$2,K49="c",'Rates (Courier)'!$E$2,K49="d",'Rates (Courier)'!$G$2,K49="e",'Rates (Courier)'!$I$2)</f>
        <v>33</v>
      </c>
      <c r="M49" s="24">
        <f>ifs(K49="a",'Rates (Courier)'!$B$2,K49="b",'Rates (Courier)'!$D$2,K49="c",'Rates (Courier)'!$F$2,K49="d",'Rates (Courier)'!$H$2,K49="e",'Rates (Courier)'!$J$2)</f>
        <v>28.3</v>
      </c>
      <c r="N49" s="24">
        <f>ifs(K49="a",'Rates (Courier)'!$K$2,K49="b",'Rates (Courier)'!$M$2,K49="c",'Rates (Courier)'!$O$2,K49="d",'Rates (Courier)'!$Q$2,K49="e",'Rates (Courier)'!$S$2)</f>
        <v>20.5</v>
      </c>
      <c r="O49" s="24">
        <f>ifs(K49="a",'Rates (Courier)'!$L$2,K49="b",'Rates (Courier)'!$N$2,K49="c",'Rates (Courier)'!$P$2,K49="d",'Rates (Courier)'!$R$2,K49="e",'Rates (Courier)'!$T$2)</f>
        <v>28.3</v>
      </c>
      <c r="P49" s="26">
        <f t="shared" si="6"/>
        <v>61.3</v>
      </c>
      <c r="Q49" s="23">
        <f>VLOOKUP(B49,'Invoice (Courier)'!$A$1:$C$125,3,FALSE)</f>
        <v>4.13</v>
      </c>
      <c r="R49" s="27">
        <f t="shared" si="7"/>
        <v>4.5</v>
      </c>
      <c r="S49" s="28" t="str">
        <f>VLOOKUP(B49,'Invoice (Courier)'!$A$1:$F$125,match('Invoice (Courier)'!$F$1,'Invoice (Courier)'!$A$1:$F$1,FALSE),FALSE)</f>
        <v>d</v>
      </c>
      <c r="T49" s="26">
        <f>ROUND((VLOOKUP(B49,'Invoice (Courier)'!$A$1:$H$125,match('Invoice (Courier)'!$H$1,'Invoice (Courier)'!$A$1:$H$1,FALSE),FALSE)),20)</f>
        <v>403.8</v>
      </c>
      <c r="U49" s="26">
        <f t="shared" si="8"/>
        <v>-342.5</v>
      </c>
      <c r="V49" s="24">
        <f t="shared" si="9"/>
        <v>84.81921743</v>
      </c>
      <c r="W49" s="24">
        <f t="shared" si="10"/>
        <v>80.13071895</v>
      </c>
      <c r="X49" s="24">
        <f t="shared" si="11"/>
        <v>0</v>
      </c>
    </row>
    <row r="50">
      <c r="A50" s="22" t="s">
        <v>82</v>
      </c>
      <c r="B50" s="22" t="s">
        <v>251</v>
      </c>
      <c r="C50" s="23">
        <v>400705.0</v>
      </c>
      <c r="D50" s="22" t="s">
        <v>253</v>
      </c>
      <c r="E50" s="24">
        <f t="shared" si="1"/>
        <v>90.2</v>
      </c>
      <c r="F50" s="24">
        <f t="shared" si="2"/>
        <v>86.1</v>
      </c>
      <c r="G50" s="23">
        <f t="shared" si="3"/>
        <v>0.721</v>
      </c>
      <c r="H50" s="24">
        <f>VLOOKUP(A50,'Order Report(X)'!$H$1:$I$125,2,FALSE)</f>
        <v>721</v>
      </c>
      <c r="I50" s="24">
        <f t="shared" si="4"/>
        <v>1</v>
      </c>
      <c r="J50" s="24">
        <f t="shared" si="5"/>
        <v>1000</v>
      </c>
      <c r="K50" s="25" t="str">
        <f>vlookup(C50,'Pincode Zone (X)'!$G$1:$H$109,2,false)</f>
        <v>d</v>
      </c>
      <c r="L50" s="24">
        <f>ifs(K50="a",'Rates (Courier)'!$A$2,K50="b",'Rates (Courier)'!$C$2,K50="c",'Rates (Courier)'!$E$2,K50="d",'Rates (Courier)'!$G$2,K50="e",'Rates (Courier)'!$I$2)</f>
        <v>45.4</v>
      </c>
      <c r="M50" s="24">
        <f>ifs(K50="a",'Rates (Courier)'!$B$2,K50="b",'Rates (Courier)'!$D$2,K50="c",'Rates (Courier)'!$F$2,K50="d",'Rates (Courier)'!$H$2,K50="e",'Rates (Courier)'!$J$2)</f>
        <v>44.8</v>
      </c>
      <c r="N50" s="24">
        <f>ifs(K50="a",'Rates (Courier)'!$K$2,K50="b",'Rates (Courier)'!$M$2,K50="c",'Rates (Courier)'!$O$2,K50="d",'Rates (Courier)'!$Q$2,K50="e",'Rates (Courier)'!$S$2)</f>
        <v>41.3</v>
      </c>
      <c r="O50" s="24">
        <f>ifs(K50="a",'Rates (Courier)'!$L$2,K50="b",'Rates (Courier)'!$N$2,K50="c",'Rates (Courier)'!$P$2,K50="d",'Rates (Courier)'!$R$2,K50="e",'Rates (Courier)'!$T$2)</f>
        <v>44.8</v>
      </c>
      <c r="P50" s="26">
        <f t="shared" si="6"/>
        <v>176.3</v>
      </c>
      <c r="Q50" s="23">
        <f>VLOOKUP(B50,'Invoice (Courier)'!$A$1:$C$125,3,FALSE)</f>
        <v>0.7</v>
      </c>
      <c r="R50" s="27">
        <f t="shared" si="7"/>
        <v>1</v>
      </c>
      <c r="S50" s="28" t="str">
        <f>VLOOKUP(B50,'Invoice (Courier)'!$A$1:$F$125,match('Invoice (Courier)'!$F$1,'Invoice (Courier)'!$A$1:$F$1,FALSE),FALSE)</f>
        <v>d</v>
      </c>
      <c r="T50" s="26">
        <f>ROUND((VLOOKUP(B50,'Invoice (Courier)'!$A$1:$H$125,match('Invoice (Courier)'!$H$1,'Invoice (Courier)'!$A$1:$H$1,FALSE),FALSE)),20)</f>
        <v>172.8</v>
      </c>
      <c r="U50" s="26">
        <f t="shared" si="8"/>
        <v>3.5</v>
      </c>
      <c r="V50" s="24">
        <f t="shared" si="9"/>
        <v>-2.025462963</v>
      </c>
      <c r="W50" s="24">
        <f t="shared" si="10"/>
        <v>125.1040222</v>
      </c>
      <c r="X50" s="24">
        <f t="shared" si="11"/>
        <v>119.4174757</v>
      </c>
    </row>
    <row r="51">
      <c r="A51" s="22" t="s">
        <v>84</v>
      </c>
      <c r="B51" s="22" t="s">
        <v>254</v>
      </c>
      <c r="C51" s="23">
        <v>332715.0</v>
      </c>
      <c r="D51" s="22" t="s">
        <v>157</v>
      </c>
      <c r="E51" s="24">
        <f t="shared" si="1"/>
        <v>33</v>
      </c>
      <c r="F51" s="24">
        <f t="shared" si="2"/>
        <v>0</v>
      </c>
      <c r="G51" s="23">
        <f t="shared" si="3"/>
        <v>0.5</v>
      </c>
      <c r="H51" s="24">
        <f>VLOOKUP(A51,'Order Report(X)'!$H$1:$I$125,2,FALSE)</f>
        <v>500</v>
      </c>
      <c r="I51" s="24">
        <f t="shared" si="4"/>
        <v>0.5</v>
      </c>
      <c r="J51" s="24">
        <f t="shared" si="5"/>
        <v>500</v>
      </c>
      <c r="K51" s="25" t="str">
        <f>vlookup(C51,'Pincode Zone (X)'!$G$1:$H$109,2,false)</f>
        <v>b</v>
      </c>
      <c r="L51" s="24">
        <f>ifs(K51="a",'Rates (Courier)'!$A$2,K51="b",'Rates (Courier)'!$C$2,K51="c",'Rates (Courier)'!$E$2,K51="d",'Rates (Courier)'!$G$2,K51="e",'Rates (Courier)'!$I$2)</f>
        <v>33</v>
      </c>
      <c r="M51" s="24">
        <f>ifs(K51="a",'Rates (Courier)'!$B$2,K51="b",'Rates (Courier)'!$D$2,K51="c",'Rates (Courier)'!$F$2,K51="d",'Rates (Courier)'!$H$2,K51="e",'Rates (Courier)'!$J$2)</f>
        <v>28.3</v>
      </c>
      <c r="N51" s="24">
        <f>ifs(K51="a",'Rates (Courier)'!$K$2,K51="b",'Rates (Courier)'!$M$2,K51="c",'Rates (Courier)'!$O$2,K51="d",'Rates (Courier)'!$Q$2,K51="e",'Rates (Courier)'!$S$2)</f>
        <v>20.5</v>
      </c>
      <c r="O51" s="24">
        <f>ifs(K51="a",'Rates (Courier)'!$L$2,K51="b",'Rates (Courier)'!$N$2,K51="c",'Rates (Courier)'!$P$2,K51="d",'Rates (Courier)'!$R$2,K51="e",'Rates (Courier)'!$T$2)</f>
        <v>28.3</v>
      </c>
      <c r="P51" s="26">
        <f t="shared" si="6"/>
        <v>33</v>
      </c>
      <c r="Q51" s="23">
        <f>VLOOKUP(B51,'Invoice (Courier)'!$A$1:$C$125,3,FALSE)</f>
        <v>0.5</v>
      </c>
      <c r="R51" s="27">
        <f t="shared" si="7"/>
        <v>0.5</v>
      </c>
      <c r="S51" s="28" t="str">
        <f>VLOOKUP(B51,'Invoice (Courier)'!$A$1:$F$125,match('Invoice (Courier)'!$F$1,'Invoice (Courier)'!$A$1:$F$1,FALSE),FALSE)</f>
        <v>d</v>
      </c>
      <c r="T51" s="26">
        <f>ROUND((VLOOKUP(B51,'Invoice (Courier)'!$A$1:$H$125,match('Invoice (Courier)'!$H$1,'Invoice (Courier)'!$A$1:$H$1,FALSE),FALSE)),20)</f>
        <v>45.4</v>
      </c>
      <c r="U51" s="26">
        <f t="shared" si="8"/>
        <v>-12.4</v>
      </c>
      <c r="V51" s="24">
        <f t="shared" si="9"/>
        <v>27.31277533</v>
      </c>
      <c r="W51" s="24">
        <f t="shared" si="10"/>
        <v>66</v>
      </c>
      <c r="X51" s="24">
        <f t="shared" si="11"/>
        <v>0</v>
      </c>
    </row>
    <row r="52">
      <c r="A52" s="22" t="s">
        <v>75</v>
      </c>
      <c r="B52" s="22" t="s">
        <v>256</v>
      </c>
      <c r="C52" s="23">
        <v>845438.0</v>
      </c>
      <c r="D52" s="22" t="s">
        <v>157</v>
      </c>
      <c r="E52" s="24">
        <f t="shared" si="1"/>
        <v>45.4</v>
      </c>
      <c r="F52" s="24">
        <f t="shared" si="2"/>
        <v>0</v>
      </c>
      <c r="G52" s="23">
        <f t="shared" si="3"/>
        <v>0.24</v>
      </c>
      <c r="H52" s="24">
        <f>VLOOKUP(A52,'Order Report(X)'!$H$1:$I$125,2,FALSE)</f>
        <v>240</v>
      </c>
      <c r="I52" s="24">
        <f t="shared" si="4"/>
        <v>0.5</v>
      </c>
      <c r="J52" s="24">
        <f t="shared" si="5"/>
        <v>500</v>
      </c>
      <c r="K52" s="25" t="str">
        <f>vlookup(C52,'Pincode Zone (X)'!$G$1:$H$109,2,false)</f>
        <v>d</v>
      </c>
      <c r="L52" s="24">
        <f>ifs(K52="a",'Rates (Courier)'!$A$2,K52="b",'Rates (Courier)'!$C$2,K52="c",'Rates (Courier)'!$E$2,K52="d",'Rates (Courier)'!$G$2,K52="e",'Rates (Courier)'!$I$2)</f>
        <v>45.4</v>
      </c>
      <c r="M52" s="24">
        <f>ifs(K52="a",'Rates (Courier)'!$B$2,K52="b",'Rates (Courier)'!$D$2,K52="c",'Rates (Courier)'!$F$2,K52="d",'Rates (Courier)'!$H$2,K52="e",'Rates (Courier)'!$J$2)</f>
        <v>44.8</v>
      </c>
      <c r="N52" s="24">
        <f>ifs(K52="a",'Rates (Courier)'!$K$2,K52="b",'Rates (Courier)'!$M$2,K52="c",'Rates (Courier)'!$O$2,K52="d",'Rates (Courier)'!$Q$2,K52="e",'Rates (Courier)'!$S$2)</f>
        <v>41.3</v>
      </c>
      <c r="O52" s="24">
        <f>ifs(K52="a",'Rates (Courier)'!$L$2,K52="b",'Rates (Courier)'!$N$2,K52="c",'Rates (Courier)'!$P$2,K52="d",'Rates (Courier)'!$R$2,K52="e",'Rates (Courier)'!$T$2)</f>
        <v>44.8</v>
      </c>
      <c r="P52" s="26">
        <f t="shared" si="6"/>
        <v>45.4</v>
      </c>
      <c r="Q52" s="23">
        <f>VLOOKUP(B52,'Invoice (Courier)'!$A$1:$C$125,3,FALSE)</f>
        <v>0.15</v>
      </c>
      <c r="R52" s="27">
        <f t="shared" si="7"/>
        <v>0.5</v>
      </c>
      <c r="S52" s="28" t="str">
        <f>VLOOKUP(B52,'Invoice (Courier)'!$A$1:$F$125,match('Invoice (Courier)'!$F$1,'Invoice (Courier)'!$A$1:$F$1,FALSE),FALSE)</f>
        <v>d</v>
      </c>
      <c r="T52" s="26">
        <f>ROUND((VLOOKUP(B52,'Invoice (Courier)'!$A$1:$H$125,match('Invoice (Courier)'!$H$1,'Invoice (Courier)'!$A$1:$H$1,FALSE),FALSE)),20)</f>
        <v>45.4</v>
      </c>
      <c r="U52" s="26">
        <f t="shared" si="8"/>
        <v>0</v>
      </c>
      <c r="V52" s="24">
        <f t="shared" si="9"/>
        <v>0</v>
      </c>
      <c r="W52" s="24">
        <f t="shared" si="10"/>
        <v>189.1666667</v>
      </c>
      <c r="X52" s="24">
        <f t="shared" si="11"/>
        <v>0</v>
      </c>
    </row>
    <row r="53">
      <c r="A53" s="22" t="s">
        <v>65</v>
      </c>
      <c r="B53" s="22" t="s">
        <v>258</v>
      </c>
      <c r="C53" s="23">
        <v>302039.0</v>
      </c>
      <c r="D53" s="22" t="s">
        <v>157</v>
      </c>
      <c r="E53" s="24">
        <f t="shared" si="1"/>
        <v>33</v>
      </c>
      <c r="F53" s="24">
        <f t="shared" si="2"/>
        <v>0</v>
      </c>
      <c r="G53" s="23">
        <f t="shared" si="3"/>
        <v>0.5</v>
      </c>
      <c r="H53" s="24">
        <f>VLOOKUP(A53,'Order Report(X)'!$H$1:$I$125,2,FALSE)</f>
        <v>500</v>
      </c>
      <c r="I53" s="24">
        <f t="shared" si="4"/>
        <v>0.5</v>
      </c>
      <c r="J53" s="24">
        <f t="shared" si="5"/>
        <v>500</v>
      </c>
      <c r="K53" s="25" t="str">
        <f>vlookup(C53,'Pincode Zone (X)'!$G$1:$H$109,2,false)</f>
        <v>b</v>
      </c>
      <c r="L53" s="24">
        <f>ifs(K53="a",'Rates (Courier)'!$A$2,K53="b",'Rates (Courier)'!$C$2,K53="c",'Rates (Courier)'!$E$2,K53="d",'Rates (Courier)'!$G$2,K53="e",'Rates (Courier)'!$I$2)</f>
        <v>33</v>
      </c>
      <c r="M53" s="24">
        <f>ifs(K53="a",'Rates (Courier)'!$B$2,K53="b",'Rates (Courier)'!$D$2,K53="c",'Rates (Courier)'!$F$2,K53="d",'Rates (Courier)'!$H$2,K53="e",'Rates (Courier)'!$J$2)</f>
        <v>28.3</v>
      </c>
      <c r="N53" s="24">
        <f>ifs(K53="a",'Rates (Courier)'!$K$2,K53="b",'Rates (Courier)'!$M$2,K53="c",'Rates (Courier)'!$O$2,K53="d",'Rates (Courier)'!$Q$2,K53="e",'Rates (Courier)'!$S$2)</f>
        <v>20.5</v>
      </c>
      <c r="O53" s="24">
        <f>ifs(K53="a",'Rates (Courier)'!$L$2,K53="b",'Rates (Courier)'!$N$2,K53="c",'Rates (Courier)'!$P$2,K53="d",'Rates (Courier)'!$R$2,K53="e",'Rates (Courier)'!$T$2)</f>
        <v>28.3</v>
      </c>
      <c r="P53" s="26">
        <f t="shared" si="6"/>
        <v>33</v>
      </c>
      <c r="Q53" s="23">
        <f>VLOOKUP(B53,'Invoice (Courier)'!$A$1:$C$125,3,FALSE)</f>
        <v>0.73</v>
      </c>
      <c r="R53" s="27">
        <f t="shared" si="7"/>
        <v>1</v>
      </c>
      <c r="S53" s="28" t="str">
        <f>VLOOKUP(B53,'Invoice (Courier)'!$A$1:$F$125,match('Invoice (Courier)'!$F$1,'Invoice (Courier)'!$A$1:$F$1,FALSE),FALSE)</f>
        <v>d</v>
      </c>
      <c r="T53" s="26">
        <f>ROUND((VLOOKUP(B53,'Invoice (Courier)'!$A$1:$H$125,match('Invoice (Courier)'!$H$1,'Invoice (Courier)'!$A$1:$H$1,FALSE),FALSE)),20)</f>
        <v>90.2</v>
      </c>
      <c r="U53" s="26">
        <f t="shared" si="8"/>
        <v>-57.2</v>
      </c>
      <c r="V53" s="24">
        <f t="shared" si="9"/>
        <v>63.41463415</v>
      </c>
      <c r="W53" s="24">
        <f t="shared" si="10"/>
        <v>66</v>
      </c>
      <c r="X53" s="24">
        <f t="shared" si="11"/>
        <v>0</v>
      </c>
    </row>
    <row r="54">
      <c r="A54" s="22" t="s">
        <v>69</v>
      </c>
      <c r="B54" s="22" t="s">
        <v>260</v>
      </c>
      <c r="C54" s="23">
        <v>335803.0</v>
      </c>
      <c r="D54" s="22" t="s">
        <v>157</v>
      </c>
      <c r="E54" s="24">
        <f t="shared" si="1"/>
        <v>61.3</v>
      </c>
      <c r="F54" s="24">
        <f t="shared" si="2"/>
        <v>0</v>
      </c>
      <c r="G54" s="23">
        <f t="shared" si="3"/>
        <v>0.83</v>
      </c>
      <c r="H54" s="24">
        <f>VLOOKUP(A54,'Order Report(X)'!$H$1:$I$125,2,FALSE)</f>
        <v>830</v>
      </c>
      <c r="I54" s="24">
        <f t="shared" si="4"/>
        <v>1</v>
      </c>
      <c r="J54" s="24">
        <f t="shared" si="5"/>
        <v>1000</v>
      </c>
      <c r="K54" s="25" t="str">
        <f>vlookup(C54,'Pincode Zone (X)'!$G$1:$H$109,2,false)</f>
        <v>b</v>
      </c>
      <c r="L54" s="24">
        <f>ifs(K54="a",'Rates (Courier)'!$A$2,K54="b",'Rates (Courier)'!$C$2,K54="c",'Rates (Courier)'!$E$2,K54="d",'Rates (Courier)'!$G$2,K54="e",'Rates (Courier)'!$I$2)</f>
        <v>33</v>
      </c>
      <c r="M54" s="24">
        <f>ifs(K54="a",'Rates (Courier)'!$B$2,K54="b",'Rates (Courier)'!$D$2,K54="c",'Rates (Courier)'!$F$2,K54="d",'Rates (Courier)'!$H$2,K54="e",'Rates (Courier)'!$J$2)</f>
        <v>28.3</v>
      </c>
      <c r="N54" s="24">
        <f>ifs(K54="a",'Rates (Courier)'!$K$2,K54="b",'Rates (Courier)'!$M$2,K54="c",'Rates (Courier)'!$O$2,K54="d",'Rates (Courier)'!$Q$2,K54="e",'Rates (Courier)'!$S$2)</f>
        <v>20.5</v>
      </c>
      <c r="O54" s="24">
        <f>ifs(K54="a",'Rates (Courier)'!$L$2,K54="b",'Rates (Courier)'!$N$2,K54="c",'Rates (Courier)'!$P$2,K54="d",'Rates (Courier)'!$R$2,K54="e",'Rates (Courier)'!$T$2)</f>
        <v>28.3</v>
      </c>
      <c r="P54" s="26">
        <f t="shared" si="6"/>
        <v>61.3</v>
      </c>
      <c r="Q54" s="23">
        <f>VLOOKUP(B54,'Invoice (Courier)'!$A$1:$C$125,3,FALSE)</f>
        <v>1.04</v>
      </c>
      <c r="R54" s="27">
        <f t="shared" si="7"/>
        <v>1.5</v>
      </c>
      <c r="S54" s="28" t="str">
        <f>VLOOKUP(B54,'Invoice (Courier)'!$A$1:$F$125,match('Invoice (Courier)'!$F$1,'Invoice (Courier)'!$A$1:$F$1,FALSE),FALSE)</f>
        <v>d</v>
      </c>
      <c r="T54" s="26">
        <f>ROUND((VLOOKUP(B54,'Invoice (Courier)'!$A$1:$H$125,match('Invoice (Courier)'!$H$1,'Invoice (Courier)'!$A$1:$H$1,FALSE),FALSE)),20)</f>
        <v>135</v>
      </c>
      <c r="U54" s="26">
        <f t="shared" si="8"/>
        <v>-73.7</v>
      </c>
      <c r="V54" s="24">
        <f t="shared" si="9"/>
        <v>54.59259259</v>
      </c>
      <c r="W54" s="24">
        <f t="shared" si="10"/>
        <v>73.85542169</v>
      </c>
      <c r="X54" s="24">
        <f t="shared" si="11"/>
        <v>0</v>
      </c>
    </row>
    <row r="55">
      <c r="A55" s="22" t="s">
        <v>85</v>
      </c>
      <c r="B55" s="22" t="s">
        <v>262</v>
      </c>
      <c r="C55" s="23">
        <v>463106.0</v>
      </c>
      <c r="D55" s="22" t="s">
        <v>157</v>
      </c>
      <c r="E55" s="24">
        <f t="shared" si="1"/>
        <v>135</v>
      </c>
      <c r="F55" s="24">
        <f t="shared" si="2"/>
        <v>0</v>
      </c>
      <c r="G55" s="23">
        <f t="shared" si="3"/>
        <v>1.157</v>
      </c>
      <c r="H55" s="24">
        <f>VLOOKUP(A55,'Order Report(X)'!$H$1:$I$125,2,FALSE)</f>
        <v>1157</v>
      </c>
      <c r="I55" s="24">
        <f t="shared" si="4"/>
        <v>1.5</v>
      </c>
      <c r="J55" s="24">
        <f t="shared" si="5"/>
        <v>1500</v>
      </c>
      <c r="K55" s="25" t="str">
        <f>vlookup(C55,'Pincode Zone (X)'!$G$1:$H$109,2,false)</f>
        <v>d</v>
      </c>
      <c r="L55" s="24">
        <f>ifs(K55="a",'Rates (Courier)'!$A$2,K55="b",'Rates (Courier)'!$C$2,K55="c",'Rates (Courier)'!$E$2,K55="d",'Rates (Courier)'!$G$2,K55="e",'Rates (Courier)'!$I$2)</f>
        <v>45.4</v>
      </c>
      <c r="M55" s="24">
        <f>ifs(K55="a",'Rates (Courier)'!$B$2,K55="b",'Rates (Courier)'!$D$2,K55="c",'Rates (Courier)'!$F$2,K55="d",'Rates (Courier)'!$H$2,K55="e",'Rates (Courier)'!$J$2)</f>
        <v>44.8</v>
      </c>
      <c r="N55" s="24">
        <f>ifs(K55="a",'Rates (Courier)'!$K$2,K55="b",'Rates (Courier)'!$M$2,K55="c",'Rates (Courier)'!$O$2,K55="d",'Rates (Courier)'!$Q$2,K55="e",'Rates (Courier)'!$S$2)</f>
        <v>41.3</v>
      </c>
      <c r="O55" s="24">
        <f>ifs(K55="a",'Rates (Courier)'!$L$2,K55="b",'Rates (Courier)'!$N$2,K55="c",'Rates (Courier)'!$P$2,K55="d",'Rates (Courier)'!$R$2,K55="e",'Rates (Courier)'!$T$2)</f>
        <v>44.8</v>
      </c>
      <c r="P55" s="26">
        <f t="shared" si="6"/>
        <v>135</v>
      </c>
      <c r="Q55" s="23">
        <f>VLOOKUP(B55,'Invoice (Courier)'!$A$1:$C$125,3,FALSE)</f>
        <v>1.28</v>
      </c>
      <c r="R55" s="27">
        <f t="shared" si="7"/>
        <v>1.5</v>
      </c>
      <c r="S55" s="28" t="str">
        <f>VLOOKUP(B55,'Invoice (Courier)'!$A$1:$F$125,match('Invoice (Courier)'!$F$1,'Invoice (Courier)'!$A$1:$F$1,FALSE),FALSE)</f>
        <v>d</v>
      </c>
      <c r="T55" s="26">
        <f>ROUND((VLOOKUP(B55,'Invoice (Courier)'!$A$1:$H$125,match('Invoice (Courier)'!$H$1,'Invoice (Courier)'!$A$1:$H$1,FALSE),FALSE)),20)</f>
        <v>135</v>
      </c>
      <c r="U55" s="26">
        <f t="shared" si="8"/>
        <v>0</v>
      </c>
      <c r="V55" s="24">
        <f t="shared" si="9"/>
        <v>0</v>
      </c>
      <c r="W55" s="24">
        <f t="shared" si="10"/>
        <v>116.6810717</v>
      </c>
      <c r="X55" s="24">
        <f t="shared" si="11"/>
        <v>0</v>
      </c>
    </row>
    <row r="56">
      <c r="A56" s="22" t="s">
        <v>86</v>
      </c>
      <c r="B56" s="22" t="s">
        <v>264</v>
      </c>
      <c r="C56" s="23">
        <v>140301.0</v>
      </c>
      <c r="D56" s="22" t="s">
        <v>157</v>
      </c>
      <c r="E56" s="24">
        <f t="shared" si="1"/>
        <v>33</v>
      </c>
      <c r="F56" s="24">
        <f t="shared" si="2"/>
        <v>0</v>
      </c>
      <c r="G56" s="23">
        <f t="shared" si="3"/>
        <v>0.343</v>
      </c>
      <c r="H56" s="24">
        <f>VLOOKUP(A56,'Order Report(X)'!$H$1:$I$125,2,FALSE)</f>
        <v>343</v>
      </c>
      <c r="I56" s="24">
        <f t="shared" si="4"/>
        <v>0.5</v>
      </c>
      <c r="J56" s="24">
        <f t="shared" si="5"/>
        <v>500</v>
      </c>
      <c r="K56" s="25" t="str">
        <f>vlookup(C56,'Pincode Zone (X)'!$G$1:$H$109,2,false)</f>
        <v>b</v>
      </c>
      <c r="L56" s="24">
        <f>ifs(K56="a",'Rates (Courier)'!$A$2,K56="b",'Rates (Courier)'!$C$2,K56="c",'Rates (Courier)'!$E$2,K56="d",'Rates (Courier)'!$G$2,K56="e",'Rates (Courier)'!$I$2)</f>
        <v>33</v>
      </c>
      <c r="M56" s="24">
        <f>ifs(K56="a",'Rates (Courier)'!$B$2,K56="b",'Rates (Courier)'!$D$2,K56="c",'Rates (Courier)'!$F$2,K56="d",'Rates (Courier)'!$H$2,K56="e",'Rates (Courier)'!$J$2)</f>
        <v>28.3</v>
      </c>
      <c r="N56" s="24">
        <f>ifs(K56="a",'Rates (Courier)'!$K$2,K56="b",'Rates (Courier)'!$M$2,K56="c",'Rates (Courier)'!$O$2,K56="d",'Rates (Courier)'!$Q$2,K56="e",'Rates (Courier)'!$S$2)</f>
        <v>20.5</v>
      </c>
      <c r="O56" s="24">
        <f>ifs(K56="a",'Rates (Courier)'!$L$2,K56="b",'Rates (Courier)'!$N$2,K56="c",'Rates (Courier)'!$P$2,K56="d",'Rates (Courier)'!$R$2,K56="e",'Rates (Courier)'!$T$2)</f>
        <v>28.3</v>
      </c>
      <c r="P56" s="26">
        <f t="shared" si="6"/>
        <v>33</v>
      </c>
      <c r="Q56" s="23">
        <f>VLOOKUP(B56,'Invoice (Courier)'!$A$1:$C$125,3,FALSE)</f>
        <v>0.5</v>
      </c>
      <c r="R56" s="27">
        <f t="shared" si="7"/>
        <v>0.5</v>
      </c>
      <c r="S56" s="28" t="str">
        <f>VLOOKUP(B56,'Invoice (Courier)'!$A$1:$F$125,match('Invoice (Courier)'!$F$1,'Invoice (Courier)'!$A$1:$F$1,FALSE),FALSE)</f>
        <v>b</v>
      </c>
      <c r="T56" s="26">
        <f>ROUND((VLOOKUP(B56,'Invoice (Courier)'!$A$1:$H$125,match('Invoice (Courier)'!$H$1,'Invoice (Courier)'!$A$1:$H$1,FALSE),FALSE)),20)</f>
        <v>33</v>
      </c>
      <c r="U56" s="26">
        <f t="shared" si="8"/>
        <v>0</v>
      </c>
      <c r="V56" s="24">
        <f t="shared" si="9"/>
        <v>0</v>
      </c>
      <c r="W56" s="24">
        <f t="shared" si="10"/>
        <v>96.20991254</v>
      </c>
      <c r="X56" s="24">
        <f t="shared" si="11"/>
        <v>0</v>
      </c>
    </row>
    <row r="57">
      <c r="A57" s="22" t="s">
        <v>87</v>
      </c>
      <c r="B57" s="22" t="s">
        <v>265</v>
      </c>
      <c r="C57" s="23">
        <v>495671.0</v>
      </c>
      <c r="D57" s="22" t="s">
        <v>157</v>
      </c>
      <c r="E57" s="24">
        <f t="shared" si="1"/>
        <v>90.2</v>
      </c>
      <c r="F57" s="24">
        <f t="shared" si="2"/>
        <v>0</v>
      </c>
      <c r="G57" s="23">
        <f t="shared" si="3"/>
        <v>0.607</v>
      </c>
      <c r="H57" s="24">
        <f>VLOOKUP(A57,'Order Report(X)'!$H$1:$I$125,2,FALSE)</f>
        <v>607</v>
      </c>
      <c r="I57" s="24">
        <f t="shared" si="4"/>
        <v>1</v>
      </c>
      <c r="J57" s="24">
        <f t="shared" si="5"/>
        <v>1000</v>
      </c>
      <c r="K57" s="25" t="str">
        <f>vlookup(C57,'Pincode Zone (X)'!$G$1:$H$109,2,false)</f>
        <v>d</v>
      </c>
      <c r="L57" s="24">
        <f>ifs(K57="a",'Rates (Courier)'!$A$2,K57="b",'Rates (Courier)'!$C$2,K57="c",'Rates (Courier)'!$E$2,K57="d",'Rates (Courier)'!$G$2,K57="e",'Rates (Courier)'!$I$2)</f>
        <v>45.4</v>
      </c>
      <c r="M57" s="24">
        <f>ifs(K57="a",'Rates (Courier)'!$B$2,K57="b",'Rates (Courier)'!$D$2,K57="c",'Rates (Courier)'!$F$2,K57="d",'Rates (Courier)'!$H$2,K57="e",'Rates (Courier)'!$J$2)</f>
        <v>44.8</v>
      </c>
      <c r="N57" s="24">
        <f>ifs(K57="a",'Rates (Courier)'!$K$2,K57="b",'Rates (Courier)'!$M$2,K57="c",'Rates (Courier)'!$O$2,K57="d",'Rates (Courier)'!$Q$2,K57="e",'Rates (Courier)'!$S$2)</f>
        <v>41.3</v>
      </c>
      <c r="O57" s="24">
        <f>ifs(K57="a",'Rates (Courier)'!$L$2,K57="b",'Rates (Courier)'!$N$2,K57="c",'Rates (Courier)'!$P$2,K57="d",'Rates (Courier)'!$R$2,K57="e",'Rates (Courier)'!$T$2)</f>
        <v>44.8</v>
      </c>
      <c r="P57" s="26">
        <f t="shared" si="6"/>
        <v>90.2</v>
      </c>
      <c r="Q57" s="23">
        <f>VLOOKUP(B57,'Invoice (Courier)'!$A$1:$C$125,3,FALSE)</f>
        <v>0.79</v>
      </c>
      <c r="R57" s="27">
        <f t="shared" si="7"/>
        <v>1</v>
      </c>
      <c r="S57" s="28" t="str">
        <f>VLOOKUP(B57,'Invoice (Courier)'!$A$1:$F$125,match('Invoice (Courier)'!$F$1,'Invoice (Courier)'!$A$1:$F$1,FALSE),FALSE)</f>
        <v>d</v>
      </c>
      <c r="T57" s="26">
        <f>ROUND((VLOOKUP(B57,'Invoice (Courier)'!$A$1:$H$125,match('Invoice (Courier)'!$H$1,'Invoice (Courier)'!$A$1:$H$1,FALSE),FALSE)),20)</f>
        <v>90.2</v>
      </c>
      <c r="U57" s="26">
        <f t="shared" si="8"/>
        <v>0</v>
      </c>
      <c r="V57" s="24">
        <f t="shared" si="9"/>
        <v>0</v>
      </c>
      <c r="W57" s="24">
        <f t="shared" si="10"/>
        <v>148.5996705</v>
      </c>
      <c r="X57" s="24">
        <f t="shared" si="11"/>
        <v>0</v>
      </c>
    </row>
    <row r="58">
      <c r="A58" s="22" t="s">
        <v>88</v>
      </c>
      <c r="B58" s="22" t="s">
        <v>267</v>
      </c>
      <c r="C58" s="23">
        <v>302031.0</v>
      </c>
      <c r="D58" s="22" t="s">
        <v>157</v>
      </c>
      <c r="E58" s="24">
        <f t="shared" si="1"/>
        <v>61.3</v>
      </c>
      <c r="F58" s="24">
        <f t="shared" si="2"/>
        <v>0</v>
      </c>
      <c r="G58" s="23">
        <f t="shared" si="3"/>
        <v>0.601</v>
      </c>
      <c r="H58" s="24">
        <f>VLOOKUP(A58,'Order Report(X)'!$H$1:$I$125,2,FALSE)</f>
        <v>601</v>
      </c>
      <c r="I58" s="24">
        <f t="shared" si="4"/>
        <v>1</v>
      </c>
      <c r="J58" s="24">
        <f t="shared" si="5"/>
        <v>1000</v>
      </c>
      <c r="K58" s="25" t="str">
        <f>vlookup(C58,'Pincode Zone (X)'!$G$1:$H$109,2,false)</f>
        <v>b</v>
      </c>
      <c r="L58" s="24">
        <f>ifs(K58="a",'Rates (Courier)'!$A$2,K58="b",'Rates (Courier)'!$C$2,K58="c",'Rates (Courier)'!$E$2,K58="d",'Rates (Courier)'!$G$2,K58="e",'Rates (Courier)'!$I$2)</f>
        <v>33</v>
      </c>
      <c r="M58" s="24">
        <f>ifs(K58="a",'Rates (Courier)'!$B$2,K58="b",'Rates (Courier)'!$D$2,K58="c",'Rates (Courier)'!$F$2,K58="d",'Rates (Courier)'!$H$2,K58="e",'Rates (Courier)'!$J$2)</f>
        <v>28.3</v>
      </c>
      <c r="N58" s="24">
        <f>ifs(K58="a",'Rates (Courier)'!$K$2,K58="b",'Rates (Courier)'!$M$2,K58="c",'Rates (Courier)'!$O$2,K58="d",'Rates (Courier)'!$Q$2,K58="e",'Rates (Courier)'!$S$2)</f>
        <v>20.5</v>
      </c>
      <c r="O58" s="24">
        <f>ifs(K58="a",'Rates (Courier)'!$L$2,K58="b",'Rates (Courier)'!$N$2,K58="c",'Rates (Courier)'!$P$2,K58="d",'Rates (Courier)'!$R$2,K58="e",'Rates (Courier)'!$T$2)</f>
        <v>28.3</v>
      </c>
      <c r="P58" s="26">
        <f t="shared" si="6"/>
        <v>61.3</v>
      </c>
      <c r="Q58" s="23">
        <f>VLOOKUP(B58,'Invoice (Courier)'!$A$1:$C$125,3,FALSE)</f>
        <v>0.77</v>
      </c>
      <c r="R58" s="27">
        <f t="shared" si="7"/>
        <v>1</v>
      </c>
      <c r="S58" s="28" t="str">
        <f>VLOOKUP(B58,'Invoice (Courier)'!$A$1:$F$125,match('Invoice (Courier)'!$F$1,'Invoice (Courier)'!$A$1:$F$1,FALSE),FALSE)</f>
        <v>d</v>
      </c>
      <c r="T58" s="26">
        <f>ROUND((VLOOKUP(B58,'Invoice (Courier)'!$A$1:$H$125,match('Invoice (Courier)'!$H$1,'Invoice (Courier)'!$A$1:$H$1,FALSE),FALSE)),20)</f>
        <v>90.2</v>
      </c>
      <c r="U58" s="26">
        <f t="shared" si="8"/>
        <v>-28.9</v>
      </c>
      <c r="V58" s="24">
        <f t="shared" si="9"/>
        <v>32.03991131</v>
      </c>
      <c r="W58" s="24">
        <f t="shared" si="10"/>
        <v>101.9966722</v>
      </c>
      <c r="X58" s="24">
        <f t="shared" si="11"/>
        <v>0</v>
      </c>
    </row>
    <row r="59">
      <c r="A59" s="22" t="s">
        <v>89</v>
      </c>
      <c r="B59" s="22" t="s">
        <v>269</v>
      </c>
      <c r="C59" s="23">
        <v>673002.0</v>
      </c>
      <c r="D59" s="22" t="s">
        <v>253</v>
      </c>
      <c r="E59" s="24">
        <f t="shared" si="1"/>
        <v>56.6</v>
      </c>
      <c r="F59" s="24">
        <f t="shared" si="2"/>
        <v>50.7</v>
      </c>
      <c r="G59" s="23">
        <f t="shared" si="3"/>
        <v>0.245</v>
      </c>
      <c r="H59" s="24">
        <f>VLOOKUP(A59,'Order Report(X)'!$H$1:$I$125,2,FALSE)</f>
        <v>245</v>
      </c>
      <c r="I59" s="24">
        <f t="shared" si="4"/>
        <v>0.5</v>
      </c>
      <c r="J59" s="24">
        <f t="shared" si="5"/>
        <v>500</v>
      </c>
      <c r="K59" s="25" t="str">
        <f>vlookup(C59,'Pincode Zone (X)'!$G$1:$H$109,2,false)</f>
        <v>e</v>
      </c>
      <c r="L59" s="24">
        <f>ifs(K59="a",'Rates (Courier)'!$A$2,K59="b",'Rates (Courier)'!$C$2,K59="c",'Rates (Courier)'!$E$2,K59="d",'Rates (Courier)'!$G$2,K59="e",'Rates (Courier)'!$I$2)</f>
        <v>56.6</v>
      </c>
      <c r="M59" s="24">
        <f>ifs(K59="a",'Rates (Courier)'!$B$2,K59="b",'Rates (Courier)'!$D$2,K59="c",'Rates (Courier)'!$F$2,K59="d",'Rates (Courier)'!$H$2,K59="e",'Rates (Courier)'!$J$2)</f>
        <v>55.5</v>
      </c>
      <c r="N59" s="24">
        <f>ifs(K59="a",'Rates (Courier)'!$K$2,K59="b",'Rates (Courier)'!$M$2,K59="c",'Rates (Courier)'!$O$2,K59="d",'Rates (Courier)'!$Q$2,K59="e",'Rates (Courier)'!$S$2)</f>
        <v>50.7</v>
      </c>
      <c r="O59" s="24">
        <f>ifs(K59="a",'Rates (Courier)'!$L$2,K59="b",'Rates (Courier)'!$N$2,K59="c",'Rates (Courier)'!$P$2,K59="d",'Rates (Courier)'!$R$2,K59="e",'Rates (Courier)'!$T$2)</f>
        <v>55.5</v>
      </c>
      <c r="P59" s="26">
        <f t="shared" si="6"/>
        <v>107.3</v>
      </c>
      <c r="Q59" s="23">
        <f>VLOOKUP(B59,'Invoice (Courier)'!$A$1:$C$125,3,FALSE)</f>
        <v>0.2</v>
      </c>
      <c r="R59" s="27">
        <f t="shared" si="7"/>
        <v>0.5</v>
      </c>
      <c r="S59" s="28" t="str">
        <f>VLOOKUP(B59,'Invoice (Courier)'!$A$1:$F$125,match('Invoice (Courier)'!$F$1,'Invoice (Courier)'!$A$1:$F$1,FALSE),FALSE)</f>
        <v>e</v>
      </c>
      <c r="T59" s="26">
        <f>ROUND((VLOOKUP(B59,'Invoice (Courier)'!$A$1:$H$125,match('Invoice (Courier)'!$H$1,'Invoice (Courier)'!$A$1:$H$1,FALSE),FALSE)),20)</f>
        <v>107.3</v>
      </c>
      <c r="U59" s="26">
        <f t="shared" si="8"/>
        <v>0</v>
      </c>
      <c r="V59" s="24">
        <f t="shared" si="9"/>
        <v>0</v>
      </c>
      <c r="W59" s="24">
        <f t="shared" si="10"/>
        <v>231.0204082</v>
      </c>
      <c r="X59" s="24">
        <f t="shared" si="11"/>
        <v>206.9387755</v>
      </c>
    </row>
    <row r="60">
      <c r="A60" s="22" t="s">
        <v>90</v>
      </c>
      <c r="B60" s="22" t="s">
        <v>271</v>
      </c>
      <c r="C60" s="23">
        <v>335001.0</v>
      </c>
      <c r="D60" s="22" t="s">
        <v>157</v>
      </c>
      <c r="E60" s="24">
        <f t="shared" si="1"/>
        <v>33</v>
      </c>
      <c r="F60" s="24">
        <f t="shared" si="2"/>
        <v>0</v>
      </c>
      <c r="G60" s="23">
        <f t="shared" si="3"/>
        <v>0.5</v>
      </c>
      <c r="H60" s="24">
        <f>VLOOKUP(A60,'Order Report(X)'!$H$1:$I$125,2,FALSE)</f>
        <v>500</v>
      </c>
      <c r="I60" s="24">
        <f t="shared" si="4"/>
        <v>0.5</v>
      </c>
      <c r="J60" s="24">
        <f t="shared" si="5"/>
        <v>500</v>
      </c>
      <c r="K60" s="25" t="str">
        <f>vlookup(C60,'Pincode Zone (X)'!$G$1:$H$109,2,false)</f>
        <v>b</v>
      </c>
      <c r="L60" s="24">
        <f>ifs(K60="a",'Rates (Courier)'!$A$2,K60="b",'Rates (Courier)'!$C$2,K60="c",'Rates (Courier)'!$E$2,K60="d",'Rates (Courier)'!$G$2,K60="e",'Rates (Courier)'!$I$2)</f>
        <v>33</v>
      </c>
      <c r="M60" s="24">
        <f>ifs(K60="a",'Rates (Courier)'!$B$2,K60="b",'Rates (Courier)'!$D$2,K60="c",'Rates (Courier)'!$F$2,K60="d",'Rates (Courier)'!$H$2,K60="e",'Rates (Courier)'!$J$2)</f>
        <v>28.3</v>
      </c>
      <c r="N60" s="24">
        <f>ifs(K60="a",'Rates (Courier)'!$K$2,K60="b",'Rates (Courier)'!$M$2,K60="c",'Rates (Courier)'!$O$2,K60="d",'Rates (Courier)'!$Q$2,K60="e",'Rates (Courier)'!$S$2)</f>
        <v>20.5</v>
      </c>
      <c r="O60" s="24">
        <f>ifs(K60="a",'Rates (Courier)'!$L$2,K60="b",'Rates (Courier)'!$N$2,K60="c",'Rates (Courier)'!$P$2,K60="d",'Rates (Courier)'!$R$2,K60="e",'Rates (Courier)'!$T$2)</f>
        <v>28.3</v>
      </c>
      <c r="P60" s="26">
        <f t="shared" si="6"/>
        <v>33</v>
      </c>
      <c r="Q60" s="23">
        <f>VLOOKUP(B60,'Invoice (Courier)'!$A$1:$C$125,3,FALSE)</f>
        <v>0.7</v>
      </c>
      <c r="R60" s="27">
        <f t="shared" si="7"/>
        <v>1</v>
      </c>
      <c r="S60" s="28" t="str">
        <f>VLOOKUP(B60,'Invoice (Courier)'!$A$1:$F$125,match('Invoice (Courier)'!$F$1,'Invoice (Courier)'!$A$1:$F$1,FALSE),FALSE)</f>
        <v>d</v>
      </c>
      <c r="T60" s="26">
        <f>ROUND((VLOOKUP(B60,'Invoice (Courier)'!$A$1:$H$125,match('Invoice (Courier)'!$H$1,'Invoice (Courier)'!$A$1:$H$1,FALSE),FALSE)),20)</f>
        <v>90.2</v>
      </c>
      <c r="U60" s="26">
        <f t="shared" si="8"/>
        <v>-57.2</v>
      </c>
      <c r="V60" s="24">
        <f t="shared" si="9"/>
        <v>63.41463415</v>
      </c>
      <c r="W60" s="24">
        <f t="shared" si="10"/>
        <v>66</v>
      </c>
      <c r="X60" s="24">
        <f t="shared" si="11"/>
        <v>0</v>
      </c>
    </row>
    <row r="61">
      <c r="A61" s="22" t="s">
        <v>91</v>
      </c>
      <c r="B61" s="22" t="s">
        <v>273</v>
      </c>
      <c r="C61" s="23">
        <v>208002.0</v>
      </c>
      <c r="D61" s="22" t="s">
        <v>157</v>
      </c>
      <c r="E61" s="24">
        <f t="shared" si="1"/>
        <v>61.3</v>
      </c>
      <c r="F61" s="24">
        <f t="shared" si="2"/>
        <v>0</v>
      </c>
      <c r="G61" s="23">
        <f t="shared" si="3"/>
        <v>0.607</v>
      </c>
      <c r="H61" s="24">
        <f>VLOOKUP(A61,'Order Report(X)'!$H$1:$I$125,2,FALSE)</f>
        <v>607</v>
      </c>
      <c r="I61" s="24">
        <f t="shared" si="4"/>
        <v>1</v>
      </c>
      <c r="J61" s="24">
        <f t="shared" si="5"/>
        <v>1000</v>
      </c>
      <c r="K61" s="25" t="str">
        <f>vlookup(C61,'Pincode Zone (X)'!$G$1:$H$109,2,false)</f>
        <v>b</v>
      </c>
      <c r="L61" s="24">
        <f>ifs(K61="a",'Rates (Courier)'!$A$2,K61="b",'Rates (Courier)'!$C$2,K61="c",'Rates (Courier)'!$E$2,K61="d",'Rates (Courier)'!$G$2,K61="e",'Rates (Courier)'!$I$2)</f>
        <v>33</v>
      </c>
      <c r="M61" s="24">
        <f>ifs(K61="a",'Rates (Courier)'!$B$2,K61="b",'Rates (Courier)'!$D$2,K61="c",'Rates (Courier)'!$F$2,K61="d",'Rates (Courier)'!$H$2,K61="e",'Rates (Courier)'!$J$2)</f>
        <v>28.3</v>
      </c>
      <c r="N61" s="24">
        <f>ifs(K61="a",'Rates (Courier)'!$K$2,K61="b",'Rates (Courier)'!$M$2,K61="c",'Rates (Courier)'!$O$2,K61="d",'Rates (Courier)'!$Q$2,K61="e",'Rates (Courier)'!$S$2)</f>
        <v>20.5</v>
      </c>
      <c r="O61" s="24">
        <f>ifs(K61="a",'Rates (Courier)'!$L$2,K61="b",'Rates (Courier)'!$N$2,K61="c",'Rates (Courier)'!$P$2,K61="d",'Rates (Courier)'!$R$2,K61="e",'Rates (Courier)'!$T$2)</f>
        <v>28.3</v>
      </c>
      <c r="P61" s="26">
        <f t="shared" si="6"/>
        <v>61.3</v>
      </c>
      <c r="Q61" s="23">
        <f>VLOOKUP(B61,'Invoice (Courier)'!$A$1:$C$125,3,FALSE)</f>
        <v>0.79</v>
      </c>
      <c r="R61" s="27">
        <f t="shared" si="7"/>
        <v>1</v>
      </c>
      <c r="S61" s="28" t="str">
        <f>VLOOKUP(B61,'Invoice (Courier)'!$A$1:$F$125,match('Invoice (Courier)'!$F$1,'Invoice (Courier)'!$A$1:$F$1,FALSE),FALSE)</f>
        <v>b</v>
      </c>
      <c r="T61" s="26">
        <f>ROUND((VLOOKUP(B61,'Invoice (Courier)'!$A$1:$H$125,match('Invoice (Courier)'!$H$1,'Invoice (Courier)'!$A$1:$H$1,FALSE),FALSE)),20)</f>
        <v>61.3</v>
      </c>
      <c r="U61" s="26">
        <f t="shared" si="8"/>
        <v>0</v>
      </c>
      <c r="V61" s="24">
        <f t="shared" si="9"/>
        <v>0</v>
      </c>
      <c r="W61" s="24">
        <f t="shared" si="10"/>
        <v>100.9884679</v>
      </c>
      <c r="X61" s="24">
        <f t="shared" si="11"/>
        <v>0</v>
      </c>
    </row>
    <row r="62">
      <c r="A62" s="22" t="s">
        <v>93</v>
      </c>
      <c r="B62" s="22" t="s">
        <v>275</v>
      </c>
      <c r="C62" s="23">
        <v>416010.0</v>
      </c>
      <c r="D62" s="22" t="s">
        <v>157</v>
      </c>
      <c r="E62" s="24">
        <f t="shared" si="1"/>
        <v>90.2</v>
      </c>
      <c r="F62" s="24">
        <f t="shared" si="2"/>
        <v>0</v>
      </c>
      <c r="G62" s="23">
        <f t="shared" si="3"/>
        <v>0.734</v>
      </c>
      <c r="H62" s="24">
        <f>VLOOKUP(A62,'Order Report(X)'!$H$1:$I$125,2,FALSE)</f>
        <v>734</v>
      </c>
      <c r="I62" s="24">
        <f t="shared" si="4"/>
        <v>1</v>
      </c>
      <c r="J62" s="24">
        <f t="shared" si="5"/>
        <v>1000</v>
      </c>
      <c r="K62" s="25" t="str">
        <f>vlookup(C62,'Pincode Zone (X)'!$G$1:$H$109,2,false)</f>
        <v>d</v>
      </c>
      <c r="L62" s="24">
        <f>ifs(K62="a",'Rates (Courier)'!$A$2,K62="b",'Rates (Courier)'!$C$2,K62="c",'Rates (Courier)'!$E$2,K62="d",'Rates (Courier)'!$G$2,K62="e",'Rates (Courier)'!$I$2)</f>
        <v>45.4</v>
      </c>
      <c r="M62" s="24">
        <f>ifs(K62="a",'Rates (Courier)'!$B$2,K62="b",'Rates (Courier)'!$D$2,K62="c",'Rates (Courier)'!$F$2,K62="d",'Rates (Courier)'!$H$2,K62="e",'Rates (Courier)'!$J$2)</f>
        <v>44.8</v>
      </c>
      <c r="N62" s="24">
        <f>ifs(K62="a",'Rates (Courier)'!$K$2,K62="b",'Rates (Courier)'!$M$2,K62="c",'Rates (Courier)'!$O$2,K62="d",'Rates (Courier)'!$Q$2,K62="e",'Rates (Courier)'!$S$2)</f>
        <v>41.3</v>
      </c>
      <c r="O62" s="24">
        <f>ifs(K62="a",'Rates (Courier)'!$L$2,K62="b",'Rates (Courier)'!$N$2,K62="c",'Rates (Courier)'!$P$2,K62="d",'Rates (Courier)'!$R$2,K62="e",'Rates (Courier)'!$T$2)</f>
        <v>44.8</v>
      </c>
      <c r="P62" s="26">
        <f t="shared" si="6"/>
        <v>90.2</v>
      </c>
      <c r="Q62" s="23">
        <f>VLOOKUP(B62,'Invoice (Courier)'!$A$1:$C$125,3,FALSE)</f>
        <v>0.86</v>
      </c>
      <c r="R62" s="27">
        <f t="shared" si="7"/>
        <v>1</v>
      </c>
      <c r="S62" s="28" t="str">
        <f>VLOOKUP(B62,'Invoice (Courier)'!$A$1:$F$125,match('Invoice (Courier)'!$F$1,'Invoice (Courier)'!$A$1:$F$1,FALSE),FALSE)</f>
        <v>d</v>
      </c>
      <c r="T62" s="26">
        <f>ROUND((VLOOKUP(B62,'Invoice (Courier)'!$A$1:$H$125,match('Invoice (Courier)'!$H$1,'Invoice (Courier)'!$A$1:$H$1,FALSE),FALSE)),20)</f>
        <v>90.2</v>
      </c>
      <c r="U62" s="26">
        <f t="shared" si="8"/>
        <v>0</v>
      </c>
      <c r="V62" s="24">
        <f t="shared" si="9"/>
        <v>0</v>
      </c>
      <c r="W62" s="24">
        <f t="shared" si="10"/>
        <v>122.8882834</v>
      </c>
      <c r="X62" s="24">
        <f t="shared" si="11"/>
        <v>0</v>
      </c>
    </row>
    <row r="63">
      <c r="A63" s="22" t="s">
        <v>94</v>
      </c>
      <c r="B63" s="22" t="s">
        <v>277</v>
      </c>
      <c r="C63" s="23">
        <v>175101.0</v>
      </c>
      <c r="D63" s="22" t="s">
        <v>157</v>
      </c>
      <c r="E63" s="24">
        <f t="shared" si="1"/>
        <v>56.6</v>
      </c>
      <c r="F63" s="24">
        <f t="shared" si="2"/>
        <v>0</v>
      </c>
      <c r="G63" s="23">
        <f t="shared" si="3"/>
        <v>0.5</v>
      </c>
      <c r="H63" s="24">
        <f>VLOOKUP(A63,'Order Report(X)'!$H$1:$I$125,2,FALSE)</f>
        <v>500</v>
      </c>
      <c r="I63" s="24">
        <f t="shared" si="4"/>
        <v>0.5</v>
      </c>
      <c r="J63" s="24">
        <f t="shared" si="5"/>
        <v>500</v>
      </c>
      <c r="K63" s="25" t="str">
        <f>vlookup(C63,'Pincode Zone (X)'!$G$1:$H$109,2,false)</f>
        <v>e</v>
      </c>
      <c r="L63" s="24">
        <f>ifs(K63="a",'Rates (Courier)'!$A$2,K63="b",'Rates (Courier)'!$C$2,K63="c",'Rates (Courier)'!$E$2,K63="d",'Rates (Courier)'!$G$2,K63="e",'Rates (Courier)'!$I$2)</f>
        <v>56.6</v>
      </c>
      <c r="M63" s="24">
        <f>ifs(K63="a",'Rates (Courier)'!$B$2,K63="b",'Rates (Courier)'!$D$2,K63="c",'Rates (Courier)'!$F$2,K63="d",'Rates (Courier)'!$H$2,K63="e",'Rates (Courier)'!$J$2)</f>
        <v>55.5</v>
      </c>
      <c r="N63" s="24">
        <f>ifs(K63="a",'Rates (Courier)'!$K$2,K63="b",'Rates (Courier)'!$M$2,K63="c",'Rates (Courier)'!$O$2,K63="d",'Rates (Courier)'!$Q$2,K63="e",'Rates (Courier)'!$S$2)</f>
        <v>50.7</v>
      </c>
      <c r="O63" s="24">
        <f>ifs(K63="a",'Rates (Courier)'!$L$2,K63="b",'Rates (Courier)'!$N$2,K63="c",'Rates (Courier)'!$P$2,K63="d",'Rates (Courier)'!$R$2,K63="e",'Rates (Courier)'!$T$2)</f>
        <v>55.5</v>
      </c>
      <c r="P63" s="26">
        <f t="shared" si="6"/>
        <v>56.6</v>
      </c>
      <c r="Q63" s="23">
        <f>VLOOKUP(B63,'Invoice (Courier)'!$A$1:$C$125,3,FALSE)</f>
        <v>0.72</v>
      </c>
      <c r="R63" s="27">
        <f t="shared" si="7"/>
        <v>1</v>
      </c>
      <c r="S63" s="28" t="str">
        <f>VLOOKUP(B63,'Invoice (Courier)'!$A$1:$F$125,match('Invoice (Courier)'!$F$1,'Invoice (Courier)'!$A$1:$F$1,FALSE),FALSE)</f>
        <v>b</v>
      </c>
      <c r="T63" s="26">
        <f>ROUND((VLOOKUP(B63,'Invoice (Courier)'!$A$1:$H$125,match('Invoice (Courier)'!$H$1,'Invoice (Courier)'!$A$1:$H$1,FALSE),FALSE)),20)</f>
        <v>61.3</v>
      </c>
      <c r="U63" s="26">
        <f t="shared" si="8"/>
        <v>-4.7</v>
      </c>
      <c r="V63" s="24">
        <f t="shared" si="9"/>
        <v>7.66721044</v>
      </c>
      <c r="W63" s="24">
        <f t="shared" si="10"/>
        <v>113.2</v>
      </c>
      <c r="X63" s="24">
        <f t="shared" si="11"/>
        <v>0</v>
      </c>
    </row>
    <row r="64">
      <c r="A64" s="22" t="s">
        <v>97</v>
      </c>
      <c r="B64" s="22" t="s">
        <v>279</v>
      </c>
      <c r="C64" s="23">
        <v>303903.0</v>
      </c>
      <c r="D64" s="22" t="s">
        <v>157</v>
      </c>
      <c r="E64" s="24">
        <f t="shared" si="1"/>
        <v>33</v>
      </c>
      <c r="F64" s="24">
        <f t="shared" si="2"/>
        <v>0</v>
      </c>
      <c r="G64" s="23">
        <f t="shared" si="3"/>
        <v>0.5</v>
      </c>
      <c r="H64" s="24">
        <f>VLOOKUP(A64,'Order Report(X)'!$H$1:$I$125,2,FALSE)</f>
        <v>500</v>
      </c>
      <c r="I64" s="24">
        <f t="shared" si="4"/>
        <v>0.5</v>
      </c>
      <c r="J64" s="24">
        <f t="shared" si="5"/>
        <v>500</v>
      </c>
      <c r="K64" s="25" t="str">
        <f>vlookup(C64,'Pincode Zone (X)'!$G$1:$H$109,2,false)</f>
        <v>b</v>
      </c>
      <c r="L64" s="24">
        <f>ifs(K64="a",'Rates (Courier)'!$A$2,K64="b",'Rates (Courier)'!$C$2,K64="c",'Rates (Courier)'!$E$2,K64="d",'Rates (Courier)'!$G$2,K64="e",'Rates (Courier)'!$I$2)</f>
        <v>33</v>
      </c>
      <c r="M64" s="24">
        <f>ifs(K64="a",'Rates (Courier)'!$B$2,K64="b",'Rates (Courier)'!$D$2,K64="c",'Rates (Courier)'!$F$2,K64="d",'Rates (Courier)'!$H$2,K64="e",'Rates (Courier)'!$J$2)</f>
        <v>28.3</v>
      </c>
      <c r="N64" s="24">
        <f>ifs(K64="a",'Rates (Courier)'!$K$2,K64="b",'Rates (Courier)'!$M$2,K64="c",'Rates (Courier)'!$O$2,K64="d",'Rates (Courier)'!$Q$2,K64="e",'Rates (Courier)'!$S$2)</f>
        <v>20.5</v>
      </c>
      <c r="O64" s="24">
        <f>ifs(K64="a",'Rates (Courier)'!$L$2,K64="b",'Rates (Courier)'!$N$2,K64="c",'Rates (Courier)'!$P$2,K64="d",'Rates (Courier)'!$R$2,K64="e",'Rates (Courier)'!$T$2)</f>
        <v>28.3</v>
      </c>
      <c r="P64" s="26">
        <f t="shared" si="6"/>
        <v>33</v>
      </c>
      <c r="Q64" s="23">
        <f>VLOOKUP(B64,'Invoice (Courier)'!$A$1:$C$125,3,FALSE)</f>
        <v>0.72</v>
      </c>
      <c r="R64" s="27">
        <f t="shared" si="7"/>
        <v>1</v>
      </c>
      <c r="S64" s="28" t="str">
        <f>VLOOKUP(B64,'Invoice (Courier)'!$A$1:$F$125,match('Invoice (Courier)'!$F$1,'Invoice (Courier)'!$A$1:$F$1,FALSE),FALSE)</f>
        <v>d</v>
      </c>
      <c r="T64" s="26">
        <f>ROUND((VLOOKUP(B64,'Invoice (Courier)'!$A$1:$H$125,match('Invoice (Courier)'!$H$1,'Invoice (Courier)'!$A$1:$H$1,FALSE),FALSE)),20)</f>
        <v>90.2</v>
      </c>
      <c r="U64" s="26">
        <f t="shared" si="8"/>
        <v>-57.2</v>
      </c>
      <c r="V64" s="24">
        <f t="shared" si="9"/>
        <v>63.41463415</v>
      </c>
      <c r="W64" s="24">
        <f t="shared" si="10"/>
        <v>66</v>
      </c>
      <c r="X64" s="24">
        <f t="shared" si="11"/>
        <v>0</v>
      </c>
    </row>
    <row r="65">
      <c r="A65" s="22" t="s">
        <v>95</v>
      </c>
      <c r="B65" s="22" t="s">
        <v>281</v>
      </c>
      <c r="C65" s="23">
        <v>226010.0</v>
      </c>
      <c r="D65" s="22" t="s">
        <v>157</v>
      </c>
      <c r="E65" s="24">
        <f t="shared" si="1"/>
        <v>89.6</v>
      </c>
      <c r="F65" s="24">
        <f t="shared" si="2"/>
        <v>0</v>
      </c>
      <c r="G65" s="23">
        <f t="shared" si="3"/>
        <v>1.183</v>
      </c>
      <c r="H65" s="24">
        <f>VLOOKUP(A65,'Order Report(X)'!$H$1:$I$125,2,FALSE)</f>
        <v>1183</v>
      </c>
      <c r="I65" s="24">
        <f t="shared" si="4"/>
        <v>1.5</v>
      </c>
      <c r="J65" s="24">
        <f t="shared" si="5"/>
        <v>1500</v>
      </c>
      <c r="K65" s="25" t="str">
        <f>vlookup(C65,'Pincode Zone (X)'!$G$1:$H$109,2,false)</f>
        <v>b</v>
      </c>
      <c r="L65" s="24">
        <f>ifs(K65="a",'Rates (Courier)'!$A$2,K65="b",'Rates (Courier)'!$C$2,K65="c",'Rates (Courier)'!$E$2,K65="d",'Rates (Courier)'!$G$2,K65="e",'Rates (Courier)'!$I$2)</f>
        <v>33</v>
      </c>
      <c r="M65" s="24">
        <f>ifs(K65="a",'Rates (Courier)'!$B$2,K65="b",'Rates (Courier)'!$D$2,K65="c",'Rates (Courier)'!$F$2,K65="d",'Rates (Courier)'!$H$2,K65="e",'Rates (Courier)'!$J$2)</f>
        <v>28.3</v>
      </c>
      <c r="N65" s="24">
        <f>ifs(K65="a",'Rates (Courier)'!$K$2,K65="b",'Rates (Courier)'!$M$2,K65="c",'Rates (Courier)'!$O$2,K65="d",'Rates (Courier)'!$Q$2,K65="e",'Rates (Courier)'!$S$2)</f>
        <v>20.5</v>
      </c>
      <c r="O65" s="24">
        <f>ifs(K65="a",'Rates (Courier)'!$L$2,K65="b",'Rates (Courier)'!$N$2,K65="c",'Rates (Courier)'!$P$2,K65="d",'Rates (Courier)'!$R$2,K65="e",'Rates (Courier)'!$T$2)</f>
        <v>28.3</v>
      </c>
      <c r="P65" s="26">
        <f t="shared" si="6"/>
        <v>89.6</v>
      </c>
      <c r="Q65" s="23">
        <f>VLOOKUP(B65,'Invoice (Courier)'!$A$1:$C$125,3,FALSE)</f>
        <v>1.2</v>
      </c>
      <c r="R65" s="27">
        <f t="shared" si="7"/>
        <v>1.5</v>
      </c>
      <c r="S65" s="28" t="str">
        <f>VLOOKUP(B65,'Invoice (Courier)'!$A$1:$F$125,match('Invoice (Courier)'!$F$1,'Invoice (Courier)'!$A$1:$F$1,FALSE),FALSE)</f>
        <v>b</v>
      </c>
      <c r="T65" s="26">
        <f>ROUND((VLOOKUP(B65,'Invoice (Courier)'!$A$1:$H$125,match('Invoice (Courier)'!$H$1,'Invoice (Courier)'!$A$1:$H$1,FALSE),FALSE)),20)</f>
        <v>89.6</v>
      </c>
      <c r="U65" s="26">
        <f t="shared" si="8"/>
        <v>0</v>
      </c>
      <c r="V65" s="24">
        <f t="shared" si="9"/>
        <v>0</v>
      </c>
      <c r="W65" s="24">
        <f t="shared" si="10"/>
        <v>75.73964497</v>
      </c>
      <c r="X65" s="24">
        <f t="shared" si="11"/>
        <v>0</v>
      </c>
    </row>
    <row r="66">
      <c r="A66" s="22" t="s">
        <v>98</v>
      </c>
      <c r="B66" s="22" t="s">
        <v>283</v>
      </c>
      <c r="C66" s="23">
        <v>342012.0</v>
      </c>
      <c r="D66" s="22" t="s">
        <v>157</v>
      </c>
      <c r="E66" s="24">
        <f t="shared" si="1"/>
        <v>33</v>
      </c>
      <c r="F66" s="24">
        <f t="shared" si="2"/>
        <v>0</v>
      </c>
      <c r="G66" s="23">
        <f t="shared" si="3"/>
        <v>0.22</v>
      </c>
      <c r="H66" s="24">
        <f>VLOOKUP(A66,'Order Report(X)'!$H$1:$I$125,2,FALSE)</f>
        <v>220</v>
      </c>
      <c r="I66" s="24">
        <f t="shared" si="4"/>
        <v>0.5</v>
      </c>
      <c r="J66" s="24">
        <f t="shared" si="5"/>
        <v>500</v>
      </c>
      <c r="K66" s="25" t="str">
        <f>vlookup(C66,'Pincode Zone (X)'!$G$1:$H$109,2,false)</f>
        <v>b</v>
      </c>
      <c r="L66" s="24">
        <f>ifs(K66="a",'Rates (Courier)'!$A$2,K66="b",'Rates (Courier)'!$C$2,K66="c",'Rates (Courier)'!$E$2,K66="d",'Rates (Courier)'!$G$2,K66="e",'Rates (Courier)'!$I$2)</f>
        <v>33</v>
      </c>
      <c r="M66" s="24">
        <f>ifs(K66="a",'Rates (Courier)'!$B$2,K66="b",'Rates (Courier)'!$D$2,K66="c",'Rates (Courier)'!$F$2,K66="d",'Rates (Courier)'!$H$2,K66="e",'Rates (Courier)'!$J$2)</f>
        <v>28.3</v>
      </c>
      <c r="N66" s="24">
        <f>ifs(K66="a",'Rates (Courier)'!$K$2,K66="b",'Rates (Courier)'!$M$2,K66="c",'Rates (Courier)'!$O$2,K66="d",'Rates (Courier)'!$Q$2,K66="e",'Rates (Courier)'!$S$2)</f>
        <v>20.5</v>
      </c>
      <c r="O66" s="24">
        <f>ifs(K66="a",'Rates (Courier)'!$L$2,K66="b",'Rates (Courier)'!$N$2,K66="c",'Rates (Courier)'!$P$2,K66="d",'Rates (Courier)'!$R$2,K66="e",'Rates (Courier)'!$T$2)</f>
        <v>28.3</v>
      </c>
      <c r="P66" s="26">
        <f t="shared" si="6"/>
        <v>33</v>
      </c>
      <c r="Q66" s="23">
        <f>VLOOKUP(B66,'Invoice (Courier)'!$A$1:$C$125,3,FALSE)</f>
        <v>1.63</v>
      </c>
      <c r="R66" s="27">
        <f t="shared" si="7"/>
        <v>2</v>
      </c>
      <c r="S66" s="28" t="str">
        <f>VLOOKUP(B66,'Invoice (Courier)'!$A$1:$F$125,match('Invoice (Courier)'!$F$1,'Invoice (Courier)'!$A$1:$F$1,FALSE),FALSE)</f>
        <v>d</v>
      </c>
      <c r="T66" s="26">
        <f>ROUND((VLOOKUP(B66,'Invoice (Courier)'!$A$1:$H$125,match('Invoice (Courier)'!$H$1,'Invoice (Courier)'!$A$1:$H$1,FALSE),FALSE)),20)</f>
        <v>179.8</v>
      </c>
      <c r="U66" s="26">
        <f t="shared" si="8"/>
        <v>-146.8</v>
      </c>
      <c r="V66" s="24">
        <f t="shared" si="9"/>
        <v>81.64627364</v>
      </c>
      <c r="W66" s="24">
        <f t="shared" si="10"/>
        <v>150</v>
      </c>
      <c r="X66" s="24">
        <f t="shared" si="11"/>
        <v>0</v>
      </c>
    </row>
    <row r="67">
      <c r="A67" s="22" t="s">
        <v>99</v>
      </c>
      <c r="B67" s="22" t="s">
        <v>285</v>
      </c>
      <c r="C67" s="23">
        <v>335001.0</v>
      </c>
      <c r="D67" s="22" t="s">
        <v>157</v>
      </c>
      <c r="E67" s="24">
        <f t="shared" si="1"/>
        <v>61.3</v>
      </c>
      <c r="F67" s="24">
        <f t="shared" si="2"/>
        <v>0</v>
      </c>
      <c r="G67" s="23">
        <f t="shared" si="3"/>
        <v>0.731</v>
      </c>
      <c r="H67" s="24">
        <f>VLOOKUP(A67,'Order Report(X)'!$H$1:$I$125,2,FALSE)</f>
        <v>731</v>
      </c>
      <c r="I67" s="24">
        <f t="shared" si="4"/>
        <v>1</v>
      </c>
      <c r="J67" s="24">
        <f t="shared" si="5"/>
        <v>1000</v>
      </c>
      <c r="K67" s="25" t="str">
        <f>vlookup(C67,'Pincode Zone (X)'!$G$1:$H$109,2,false)</f>
        <v>b</v>
      </c>
      <c r="L67" s="24">
        <f>ifs(K67="a",'Rates (Courier)'!$A$2,K67="b",'Rates (Courier)'!$C$2,K67="c",'Rates (Courier)'!$E$2,K67="d",'Rates (Courier)'!$G$2,K67="e",'Rates (Courier)'!$I$2)</f>
        <v>33</v>
      </c>
      <c r="M67" s="24">
        <f>ifs(K67="a",'Rates (Courier)'!$B$2,K67="b",'Rates (Courier)'!$D$2,K67="c",'Rates (Courier)'!$F$2,K67="d",'Rates (Courier)'!$H$2,K67="e",'Rates (Courier)'!$J$2)</f>
        <v>28.3</v>
      </c>
      <c r="N67" s="24">
        <f>ifs(K67="a",'Rates (Courier)'!$K$2,K67="b",'Rates (Courier)'!$M$2,K67="c",'Rates (Courier)'!$O$2,K67="d",'Rates (Courier)'!$Q$2,K67="e",'Rates (Courier)'!$S$2)</f>
        <v>20.5</v>
      </c>
      <c r="O67" s="24">
        <f>ifs(K67="a",'Rates (Courier)'!$L$2,K67="b",'Rates (Courier)'!$N$2,K67="c",'Rates (Courier)'!$P$2,K67="d",'Rates (Courier)'!$R$2,K67="e",'Rates (Courier)'!$T$2)</f>
        <v>28.3</v>
      </c>
      <c r="P67" s="26">
        <f t="shared" si="6"/>
        <v>61.3</v>
      </c>
      <c r="Q67" s="23">
        <f>VLOOKUP(B67,'Invoice (Courier)'!$A$1:$C$125,3,FALSE)</f>
        <v>0.8</v>
      </c>
      <c r="R67" s="27">
        <f t="shared" si="7"/>
        <v>1</v>
      </c>
      <c r="S67" s="28" t="str">
        <f>VLOOKUP(B67,'Invoice (Courier)'!$A$1:$F$125,match('Invoice (Courier)'!$F$1,'Invoice (Courier)'!$A$1:$F$1,FALSE),FALSE)</f>
        <v>d</v>
      </c>
      <c r="T67" s="26">
        <f>ROUND((VLOOKUP(B67,'Invoice (Courier)'!$A$1:$H$125,match('Invoice (Courier)'!$H$1,'Invoice (Courier)'!$A$1:$H$1,FALSE),FALSE)),20)</f>
        <v>90.2</v>
      </c>
      <c r="U67" s="26">
        <f t="shared" si="8"/>
        <v>-28.9</v>
      </c>
      <c r="V67" s="24">
        <f t="shared" si="9"/>
        <v>32.03991131</v>
      </c>
      <c r="W67" s="24">
        <f t="shared" si="10"/>
        <v>83.85772914</v>
      </c>
      <c r="X67" s="24">
        <f t="shared" si="11"/>
        <v>0</v>
      </c>
    </row>
    <row r="68">
      <c r="A68" s="22" t="s">
        <v>101</v>
      </c>
      <c r="B68" s="22" t="s">
        <v>286</v>
      </c>
      <c r="C68" s="23">
        <v>334001.0</v>
      </c>
      <c r="D68" s="22" t="s">
        <v>157</v>
      </c>
      <c r="E68" s="24">
        <f t="shared" si="1"/>
        <v>61.3</v>
      </c>
      <c r="F68" s="24">
        <f t="shared" si="2"/>
        <v>0</v>
      </c>
      <c r="G68" s="23">
        <f t="shared" si="3"/>
        <v>0.6</v>
      </c>
      <c r="H68" s="24">
        <f>VLOOKUP(A68,'Order Report(X)'!$H$1:$I$125,2,FALSE)</f>
        <v>600</v>
      </c>
      <c r="I68" s="24">
        <f t="shared" si="4"/>
        <v>1</v>
      </c>
      <c r="J68" s="24">
        <f t="shared" si="5"/>
        <v>1000</v>
      </c>
      <c r="K68" s="25" t="str">
        <f>vlookup(C68,'Pincode Zone (X)'!$G$1:$H$109,2,false)</f>
        <v>b</v>
      </c>
      <c r="L68" s="24">
        <f>ifs(K68="a",'Rates (Courier)'!$A$2,K68="b",'Rates (Courier)'!$C$2,K68="c",'Rates (Courier)'!$E$2,K68="d",'Rates (Courier)'!$G$2,K68="e",'Rates (Courier)'!$I$2)</f>
        <v>33</v>
      </c>
      <c r="M68" s="24">
        <f>ifs(K68="a",'Rates (Courier)'!$B$2,K68="b",'Rates (Courier)'!$D$2,K68="c",'Rates (Courier)'!$F$2,K68="d",'Rates (Courier)'!$H$2,K68="e",'Rates (Courier)'!$J$2)</f>
        <v>28.3</v>
      </c>
      <c r="N68" s="24">
        <f>ifs(K68="a",'Rates (Courier)'!$K$2,K68="b",'Rates (Courier)'!$M$2,K68="c",'Rates (Courier)'!$O$2,K68="d",'Rates (Courier)'!$Q$2,K68="e",'Rates (Courier)'!$S$2)</f>
        <v>20.5</v>
      </c>
      <c r="O68" s="24">
        <f>ifs(K68="a",'Rates (Courier)'!$L$2,K68="b",'Rates (Courier)'!$N$2,K68="c",'Rates (Courier)'!$P$2,K68="d",'Rates (Courier)'!$R$2,K68="e",'Rates (Courier)'!$T$2)</f>
        <v>28.3</v>
      </c>
      <c r="P68" s="26">
        <f t="shared" si="6"/>
        <v>61.3</v>
      </c>
      <c r="Q68" s="23">
        <f>VLOOKUP(B68,'Invoice (Courier)'!$A$1:$C$125,3,FALSE)</f>
        <v>2.47</v>
      </c>
      <c r="R68" s="27">
        <f t="shared" si="7"/>
        <v>2.5</v>
      </c>
      <c r="S68" s="28" t="str">
        <f>VLOOKUP(B68,'Invoice (Courier)'!$A$1:$F$125,match('Invoice (Courier)'!$F$1,'Invoice (Courier)'!$A$1:$F$1,FALSE),FALSE)</f>
        <v>d</v>
      </c>
      <c r="T68" s="26">
        <f>ROUND((VLOOKUP(B68,'Invoice (Courier)'!$A$1:$H$125,match('Invoice (Courier)'!$H$1,'Invoice (Courier)'!$A$1:$H$1,FALSE),FALSE)),20)</f>
        <v>224.6</v>
      </c>
      <c r="U68" s="26">
        <f t="shared" si="8"/>
        <v>-163.3</v>
      </c>
      <c r="V68" s="24">
        <f t="shared" si="9"/>
        <v>72.70703473</v>
      </c>
      <c r="W68" s="24">
        <f t="shared" si="10"/>
        <v>102.1666667</v>
      </c>
      <c r="X68" s="24">
        <f t="shared" si="11"/>
        <v>0</v>
      </c>
    </row>
    <row r="69">
      <c r="A69" s="22" t="s">
        <v>102</v>
      </c>
      <c r="B69" s="22" t="s">
        <v>288</v>
      </c>
      <c r="C69" s="23">
        <v>302031.0</v>
      </c>
      <c r="D69" s="22" t="s">
        <v>157</v>
      </c>
      <c r="E69" s="24">
        <f t="shared" si="1"/>
        <v>33</v>
      </c>
      <c r="F69" s="24">
        <f t="shared" si="2"/>
        <v>0</v>
      </c>
      <c r="G69" s="23">
        <f t="shared" si="3"/>
        <v>0.5</v>
      </c>
      <c r="H69" s="24">
        <f>VLOOKUP(A69,'Order Report(X)'!$H$1:$I$125,2,FALSE)</f>
        <v>500</v>
      </c>
      <c r="I69" s="24">
        <f t="shared" si="4"/>
        <v>0.5</v>
      </c>
      <c r="J69" s="24">
        <f t="shared" si="5"/>
        <v>500</v>
      </c>
      <c r="K69" s="25" t="str">
        <f>vlookup(C69,'Pincode Zone (X)'!$G$1:$H$109,2,false)</f>
        <v>b</v>
      </c>
      <c r="L69" s="24">
        <f>ifs(K69="a",'Rates (Courier)'!$A$2,K69="b",'Rates (Courier)'!$C$2,K69="c",'Rates (Courier)'!$E$2,K69="d",'Rates (Courier)'!$G$2,K69="e",'Rates (Courier)'!$I$2)</f>
        <v>33</v>
      </c>
      <c r="M69" s="24">
        <f>ifs(K69="a",'Rates (Courier)'!$B$2,K69="b",'Rates (Courier)'!$D$2,K69="c",'Rates (Courier)'!$F$2,K69="d",'Rates (Courier)'!$H$2,K69="e",'Rates (Courier)'!$J$2)</f>
        <v>28.3</v>
      </c>
      <c r="N69" s="24">
        <f>ifs(K69="a",'Rates (Courier)'!$K$2,K69="b",'Rates (Courier)'!$M$2,K69="c",'Rates (Courier)'!$O$2,K69="d",'Rates (Courier)'!$Q$2,K69="e",'Rates (Courier)'!$S$2)</f>
        <v>20.5</v>
      </c>
      <c r="O69" s="24">
        <f>ifs(K69="a",'Rates (Courier)'!$L$2,K69="b",'Rates (Courier)'!$N$2,K69="c",'Rates (Courier)'!$P$2,K69="d",'Rates (Courier)'!$R$2,K69="e",'Rates (Courier)'!$T$2)</f>
        <v>28.3</v>
      </c>
      <c r="P69" s="26">
        <f t="shared" si="6"/>
        <v>33</v>
      </c>
      <c r="Q69" s="23">
        <f>VLOOKUP(B69,'Invoice (Courier)'!$A$1:$C$125,3,FALSE)</f>
        <v>0.67</v>
      </c>
      <c r="R69" s="27">
        <f t="shared" si="7"/>
        <v>1</v>
      </c>
      <c r="S69" s="28" t="str">
        <f>VLOOKUP(B69,'Invoice (Courier)'!$A$1:$F$125,match('Invoice (Courier)'!$F$1,'Invoice (Courier)'!$A$1:$F$1,FALSE),FALSE)</f>
        <v>d</v>
      </c>
      <c r="T69" s="26">
        <f>ROUND((VLOOKUP(B69,'Invoice (Courier)'!$A$1:$H$125,match('Invoice (Courier)'!$H$1,'Invoice (Courier)'!$A$1:$H$1,FALSE),FALSE)),20)</f>
        <v>90.2</v>
      </c>
      <c r="U69" s="26">
        <f t="shared" si="8"/>
        <v>-57.2</v>
      </c>
      <c r="V69" s="24">
        <f t="shared" si="9"/>
        <v>63.41463415</v>
      </c>
      <c r="W69" s="24">
        <f t="shared" si="10"/>
        <v>66</v>
      </c>
      <c r="X69" s="24">
        <f t="shared" si="11"/>
        <v>0</v>
      </c>
    </row>
    <row r="70">
      <c r="A70" s="22" t="s">
        <v>104</v>
      </c>
      <c r="B70" s="22" t="s">
        <v>289</v>
      </c>
      <c r="C70" s="23">
        <v>302012.0</v>
      </c>
      <c r="D70" s="22" t="s">
        <v>157</v>
      </c>
      <c r="E70" s="24">
        <f t="shared" si="1"/>
        <v>33</v>
      </c>
      <c r="F70" s="24">
        <f t="shared" si="2"/>
        <v>0</v>
      </c>
      <c r="G70" s="23">
        <f t="shared" si="3"/>
        <v>0.5</v>
      </c>
      <c r="H70" s="24">
        <f>VLOOKUP(A70,'Order Report(X)'!$H$1:$I$125,2,FALSE)</f>
        <v>500</v>
      </c>
      <c r="I70" s="24">
        <f t="shared" si="4"/>
        <v>0.5</v>
      </c>
      <c r="J70" s="24">
        <f t="shared" si="5"/>
        <v>500</v>
      </c>
      <c r="K70" s="25" t="str">
        <f>vlookup(C70,'Pincode Zone (X)'!$G$1:$H$109,2,false)</f>
        <v>b</v>
      </c>
      <c r="L70" s="24">
        <f>ifs(K70="a",'Rates (Courier)'!$A$2,K70="b",'Rates (Courier)'!$C$2,K70="c",'Rates (Courier)'!$E$2,K70="d",'Rates (Courier)'!$G$2,K70="e",'Rates (Courier)'!$I$2)</f>
        <v>33</v>
      </c>
      <c r="M70" s="24">
        <f>ifs(K70="a",'Rates (Courier)'!$B$2,K70="b",'Rates (Courier)'!$D$2,K70="c",'Rates (Courier)'!$F$2,K70="d",'Rates (Courier)'!$H$2,K70="e",'Rates (Courier)'!$J$2)</f>
        <v>28.3</v>
      </c>
      <c r="N70" s="24">
        <f>ifs(K70="a",'Rates (Courier)'!$K$2,K70="b",'Rates (Courier)'!$M$2,K70="c",'Rates (Courier)'!$O$2,K70="d",'Rates (Courier)'!$Q$2,K70="e",'Rates (Courier)'!$S$2)</f>
        <v>20.5</v>
      </c>
      <c r="O70" s="24">
        <f>ifs(K70="a",'Rates (Courier)'!$L$2,K70="b",'Rates (Courier)'!$N$2,K70="c",'Rates (Courier)'!$P$2,K70="d",'Rates (Courier)'!$R$2,K70="e",'Rates (Courier)'!$T$2)</f>
        <v>28.3</v>
      </c>
      <c r="P70" s="26">
        <f t="shared" si="6"/>
        <v>33</v>
      </c>
      <c r="Q70" s="23">
        <f>VLOOKUP(B70,'Invoice (Courier)'!$A$1:$C$125,3,FALSE)</f>
        <v>0.72</v>
      </c>
      <c r="R70" s="27">
        <f t="shared" si="7"/>
        <v>1</v>
      </c>
      <c r="S70" s="28" t="str">
        <f>VLOOKUP(B70,'Invoice (Courier)'!$A$1:$F$125,match('Invoice (Courier)'!$F$1,'Invoice (Courier)'!$A$1:$F$1,FALSE),FALSE)</f>
        <v>d</v>
      </c>
      <c r="T70" s="26">
        <f>ROUND((VLOOKUP(B70,'Invoice (Courier)'!$A$1:$H$125,match('Invoice (Courier)'!$H$1,'Invoice (Courier)'!$A$1:$H$1,FALSE),FALSE)),20)</f>
        <v>90.2</v>
      </c>
      <c r="U70" s="26">
        <f t="shared" si="8"/>
        <v>-57.2</v>
      </c>
      <c r="V70" s="24">
        <f t="shared" si="9"/>
        <v>63.41463415</v>
      </c>
      <c r="W70" s="24">
        <f t="shared" si="10"/>
        <v>66</v>
      </c>
      <c r="X70" s="24">
        <f t="shared" si="11"/>
        <v>0</v>
      </c>
    </row>
    <row r="71">
      <c r="A71" s="22" t="s">
        <v>105</v>
      </c>
      <c r="B71" s="22" t="s">
        <v>291</v>
      </c>
      <c r="C71" s="23">
        <v>342014.0</v>
      </c>
      <c r="D71" s="22" t="s">
        <v>157</v>
      </c>
      <c r="E71" s="24">
        <f t="shared" si="1"/>
        <v>33</v>
      </c>
      <c r="F71" s="24">
        <f t="shared" si="2"/>
        <v>0</v>
      </c>
      <c r="G71" s="23">
        <f t="shared" si="3"/>
        <v>0.5</v>
      </c>
      <c r="H71" s="24">
        <f>VLOOKUP(A71,'Order Report(X)'!$H$1:$I$125,2,FALSE)</f>
        <v>500</v>
      </c>
      <c r="I71" s="24">
        <f t="shared" si="4"/>
        <v>0.5</v>
      </c>
      <c r="J71" s="24">
        <f t="shared" si="5"/>
        <v>500</v>
      </c>
      <c r="K71" s="25" t="str">
        <f>vlookup(C71,'Pincode Zone (X)'!$G$1:$H$109,2,false)</f>
        <v>b</v>
      </c>
      <c r="L71" s="24">
        <f>ifs(K71="a",'Rates (Courier)'!$A$2,K71="b",'Rates (Courier)'!$C$2,K71="c",'Rates (Courier)'!$E$2,K71="d",'Rates (Courier)'!$G$2,K71="e",'Rates (Courier)'!$I$2)</f>
        <v>33</v>
      </c>
      <c r="M71" s="24">
        <f>ifs(K71="a",'Rates (Courier)'!$B$2,K71="b",'Rates (Courier)'!$D$2,K71="c",'Rates (Courier)'!$F$2,K71="d",'Rates (Courier)'!$H$2,K71="e",'Rates (Courier)'!$J$2)</f>
        <v>28.3</v>
      </c>
      <c r="N71" s="24">
        <f>ifs(K71="a",'Rates (Courier)'!$K$2,K71="b",'Rates (Courier)'!$M$2,K71="c",'Rates (Courier)'!$O$2,K71="d",'Rates (Courier)'!$Q$2,K71="e",'Rates (Courier)'!$S$2)</f>
        <v>20.5</v>
      </c>
      <c r="O71" s="24">
        <f>ifs(K71="a",'Rates (Courier)'!$L$2,K71="b",'Rates (Courier)'!$N$2,K71="c",'Rates (Courier)'!$P$2,K71="d",'Rates (Courier)'!$R$2,K71="e",'Rates (Courier)'!$T$2)</f>
        <v>28.3</v>
      </c>
      <c r="P71" s="26">
        <f t="shared" si="6"/>
        <v>33</v>
      </c>
      <c r="Q71" s="23">
        <f>VLOOKUP(B71,'Invoice (Courier)'!$A$1:$C$125,3,FALSE)</f>
        <v>0.72</v>
      </c>
      <c r="R71" s="27">
        <f t="shared" si="7"/>
        <v>1</v>
      </c>
      <c r="S71" s="28" t="str">
        <f>VLOOKUP(B71,'Invoice (Courier)'!$A$1:$F$125,match('Invoice (Courier)'!$F$1,'Invoice (Courier)'!$A$1:$F$1,FALSE),FALSE)</f>
        <v>d</v>
      </c>
      <c r="T71" s="26">
        <f>ROUND((VLOOKUP(B71,'Invoice (Courier)'!$A$1:$H$125,match('Invoice (Courier)'!$H$1,'Invoice (Courier)'!$A$1:$H$1,FALSE),FALSE)),20)</f>
        <v>90.2</v>
      </c>
      <c r="U71" s="26">
        <f t="shared" si="8"/>
        <v>-57.2</v>
      </c>
      <c r="V71" s="24">
        <f t="shared" si="9"/>
        <v>63.41463415</v>
      </c>
      <c r="W71" s="24">
        <f t="shared" si="10"/>
        <v>66</v>
      </c>
      <c r="X71" s="24">
        <f t="shared" si="11"/>
        <v>0</v>
      </c>
    </row>
    <row r="72">
      <c r="A72" s="22" t="s">
        <v>107</v>
      </c>
      <c r="B72" s="22" t="s">
        <v>293</v>
      </c>
      <c r="C72" s="23">
        <v>324005.0</v>
      </c>
      <c r="D72" s="22" t="s">
        <v>157</v>
      </c>
      <c r="E72" s="24">
        <f t="shared" si="1"/>
        <v>33</v>
      </c>
      <c r="F72" s="24">
        <f t="shared" si="2"/>
        <v>0</v>
      </c>
      <c r="G72" s="23">
        <f t="shared" si="3"/>
        <v>0.5</v>
      </c>
      <c r="H72" s="24">
        <f>VLOOKUP(A72,'Order Report(X)'!$H$1:$I$125,2,FALSE)</f>
        <v>500</v>
      </c>
      <c r="I72" s="24">
        <f t="shared" si="4"/>
        <v>0.5</v>
      </c>
      <c r="J72" s="24">
        <f t="shared" si="5"/>
        <v>500</v>
      </c>
      <c r="K72" s="25" t="str">
        <f>vlookup(C72,'Pincode Zone (X)'!$G$1:$H$109,2,false)</f>
        <v>b</v>
      </c>
      <c r="L72" s="24">
        <f>ifs(K72="a",'Rates (Courier)'!$A$2,K72="b",'Rates (Courier)'!$C$2,K72="c",'Rates (Courier)'!$E$2,K72="d",'Rates (Courier)'!$G$2,K72="e",'Rates (Courier)'!$I$2)</f>
        <v>33</v>
      </c>
      <c r="M72" s="24">
        <f>ifs(K72="a",'Rates (Courier)'!$B$2,K72="b",'Rates (Courier)'!$D$2,K72="c",'Rates (Courier)'!$F$2,K72="d",'Rates (Courier)'!$H$2,K72="e",'Rates (Courier)'!$J$2)</f>
        <v>28.3</v>
      </c>
      <c r="N72" s="24">
        <f>ifs(K72="a",'Rates (Courier)'!$K$2,K72="b",'Rates (Courier)'!$M$2,K72="c",'Rates (Courier)'!$O$2,K72="d",'Rates (Courier)'!$Q$2,K72="e",'Rates (Courier)'!$S$2)</f>
        <v>20.5</v>
      </c>
      <c r="O72" s="24">
        <f>ifs(K72="a",'Rates (Courier)'!$L$2,K72="b",'Rates (Courier)'!$N$2,K72="c",'Rates (Courier)'!$P$2,K72="d",'Rates (Courier)'!$R$2,K72="e",'Rates (Courier)'!$T$2)</f>
        <v>28.3</v>
      </c>
      <c r="P72" s="26">
        <f t="shared" si="6"/>
        <v>33</v>
      </c>
      <c r="Q72" s="23">
        <f>VLOOKUP(B72,'Invoice (Courier)'!$A$1:$C$125,3,FALSE)</f>
        <v>0.68</v>
      </c>
      <c r="R72" s="27">
        <f t="shared" si="7"/>
        <v>1</v>
      </c>
      <c r="S72" s="28" t="str">
        <f>VLOOKUP(B72,'Invoice (Courier)'!$A$1:$F$125,match('Invoice (Courier)'!$F$1,'Invoice (Courier)'!$A$1:$F$1,FALSE),FALSE)</f>
        <v>d</v>
      </c>
      <c r="T72" s="26">
        <f>ROUND((VLOOKUP(B72,'Invoice (Courier)'!$A$1:$H$125,match('Invoice (Courier)'!$H$1,'Invoice (Courier)'!$A$1:$H$1,FALSE),FALSE)),20)</f>
        <v>90.2</v>
      </c>
      <c r="U72" s="26">
        <f t="shared" si="8"/>
        <v>-57.2</v>
      </c>
      <c r="V72" s="24">
        <f t="shared" si="9"/>
        <v>63.41463415</v>
      </c>
      <c r="W72" s="24">
        <f t="shared" si="10"/>
        <v>66</v>
      </c>
      <c r="X72" s="24">
        <f t="shared" si="11"/>
        <v>0</v>
      </c>
    </row>
    <row r="73">
      <c r="A73" s="22" t="s">
        <v>109</v>
      </c>
      <c r="B73" s="22" t="s">
        <v>295</v>
      </c>
      <c r="C73" s="23">
        <v>303702.0</v>
      </c>
      <c r="D73" s="22" t="s">
        <v>253</v>
      </c>
      <c r="E73" s="24">
        <f t="shared" si="1"/>
        <v>61.3</v>
      </c>
      <c r="F73" s="24">
        <f t="shared" si="2"/>
        <v>48.8</v>
      </c>
      <c r="G73" s="23">
        <f t="shared" si="3"/>
        <v>0.607</v>
      </c>
      <c r="H73" s="24">
        <f>VLOOKUP(A73,'Order Report(X)'!$H$1:$I$125,2,FALSE)</f>
        <v>607</v>
      </c>
      <c r="I73" s="24">
        <f t="shared" si="4"/>
        <v>1</v>
      </c>
      <c r="J73" s="24">
        <f t="shared" si="5"/>
        <v>1000</v>
      </c>
      <c r="K73" s="25" t="str">
        <f>vlookup(C73,'Pincode Zone (X)'!$G$1:$H$109,2,false)</f>
        <v>b</v>
      </c>
      <c r="L73" s="24">
        <f>ifs(K73="a",'Rates (Courier)'!$A$2,K73="b",'Rates (Courier)'!$C$2,K73="c",'Rates (Courier)'!$E$2,K73="d",'Rates (Courier)'!$G$2,K73="e",'Rates (Courier)'!$I$2)</f>
        <v>33</v>
      </c>
      <c r="M73" s="24">
        <f>ifs(K73="a",'Rates (Courier)'!$B$2,K73="b",'Rates (Courier)'!$D$2,K73="c",'Rates (Courier)'!$F$2,K73="d",'Rates (Courier)'!$H$2,K73="e",'Rates (Courier)'!$J$2)</f>
        <v>28.3</v>
      </c>
      <c r="N73" s="24">
        <f>ifs(K73="a",'Rates (Courier)'!$K$2,K73="b",'Rates (Courier)'!$M$2,K73="c",'Rates (Courier)'!$O$2,K73="d",'Rates (Courier)'!$Q$2,K73="e",'Rates (Courier)'!$S$2)</f>
        <v>20.5</v>
      </c>
      <c r="O73" s="24">
        <f>ifs(K73="a",'Rates (Courier)'!$L$2,K73="b",'Rates (Courier)'!$N$2,K73="c",'Rates (Courier)'!$P$2,K73="d",'Rates (Courier)'!$R$2,K73="e",'Rates (Courier)'!$T$2)</f>
        <v>28.3</v>
      </c>
      <c r="P73" s="26">
        <f t="shared" si="6"/>
        <v>110.1</v>
      </c>
      <c r="Q73" s="23">
        <f>VLOOKUP(B73,'Invoice (Courier)'!$A$1:$C$125,3,FALSE)</f>
        <v>0.5</v>
      </c>
      <c r="R73" s="27">
        <f t="shared" si="7"/>
        <v>0.5</v>
      </c>
      <c r="S73" s="28" t="str">
        <f>VLOOKUP(B73,'Invoice (Courier)'!$A$1:$F$125,match('Invoice (Courier)'!$F$1,'Invoice (Courier)'!$A$1:$F$1,FALSE),FALSE)</f>
        <v>d</v>
      </c>
      <c r="T73" s="26">
        <f>ROUND((VLOOKUP(B73,'Invoice (Courier)'!$A$1:$H$125,match('Invoice (Courier)'!$H$1,'Invoice (Courier)'!$A$1:$H$1,FALSE),FALSE)),20)</f>
        <v>86.7</v>
      </c>
      <c r="U73" s="26">
        <f t="shared" si="8"/>
        <v>23.4</v>
      </c>
      <c r="V73" s="24">
        <f t="shared" si="9"/>
        <v>-26.98961938</v>
      </c>
      <c r="W73" s="24">
        <f t="shared" si="10"/>
        <v>100.9884679</v>
      </c>
      <c r="X73" s="24">
        <f t="shared" si="11"/>
        <v>80.39538715</v>
      </c>
    </row>
    <row r="74">
      <c r="A74" s="22" t="s">
        <v>110</v>
      </c>
      <c r="B74" s="22" t="s">
        <v>297</v>
      </c>
      <c r="C74" s="23">
        <v>244713.0</v>
      </c>
      <c r="D74" s="22" t="s">
        <v>157</v>
      </c>
      <c r="E74" s="24">
        <f t="shared" si="1"/>
        <v>117.9</v>
      </c>
      <c r="F74" s="24">
        <f t="shared" si="2"/>
        <v>0</v>
      </c>
      <c r="G74" s="23">
        <f t="shared" si="3"/>
        <v>1.505</v>
      </c>
      <c r="H74" s="24">
        <f>VLOOKUP(A74,'Order Report(X)'!$H$1:$I$125,2,FALSE)</f>
        <v>1505</v>
      </c>
      <c r="I74" s="24">
        <f t="shared" si="4"/>
        <v>2</v>
      </c>
      <c r="J74" s="24">
        <f t="shared" si="5"/>
        <v>2000</v>
      </c>
      <c r="K74" s="25" t="str">
        <f>vlookup(C74,'Pincode Zone (X)'!$G$1:$H$109,2,false)</f>
        <v>b</v>
      </c>
      <c r="L74" s="24">
        <f>ifs(K74="a",'Rates (Courier)'!$A$2,K74="b",'Rates (Courier)'!$C$2,K74="c",'Rates (Courier)'!$E$2,K74="d",'Rates (Courier)'!$G$2,K74="e",'Rates (Courier)'!$I$2)</f>
        <v>33</v>
      </c>
      <c r="M74" s="24">
        <f>ifs(K74="a",'Rates (Courier)'!$B$2,K74="b",'Rates (Courier)'!$D$2,K74="c",'Rates (Courier)'!$F$2,K74="d",'Rates (Courier)'!$H$2,K74="e",'Rates (Courier)'!$J$2)</f>
        <v>28.3</v>
      </c>
      <c r="N74" s="24">
        <f>ifs(K74="a",'Rates (Courier)'!$K$2,K74="b",'Rates (Courier)'!$M$2,K74="c",'Rates (Courier)'!$O$2,K74="d",'Rates (Courier)'!$Q$2,K74="e",'Rates (Courier)'!$S$2)</f>
        <v>20.5</v>
      </c>
      <c r="O74" s="24">
        <f>ifs(K74="a",'Rates (Courier)'!$L$2,K74="b",'Rates (Courier)'!$N$2,K74="c",'Rates (Courier)'!$P$2,K74="d",'Rates (Courier)'!$R$2,K74="e",'Rates (Courier)'!$T$2)</f>
        <v>28.3</v>
      </c>
      <c r="P74" s="26">
        <f t="shared" si="6"/>
        <v>117.9</v>
      </c>
      <c r="Q74" s="23">
        <f>VLOOKUP(B74,'Invoice (Courier)'!$A$1:$C$125,3,FALSE)</f>
        <v>1.5</v>
      </c>
      <c r="R74" s="27">
        <f t="shared" si="7"/>
        <v>1.5</v>
      </c>
      <c r="S74" s="28" t="str">
        <f>VLOOKUP(B74,'Invoice (Courier)'!$A$1:$F$125,match('Invoice (Courier)'!$F$1,'Invoice (Courier)'!$A$1:$F$1,FALSE),FALSE)</f>
        <v>b</v>
      </c>
      <c r="T74" s="26">
        <f>ROUND((VLOOKUP(B74,'Invoice (Courier)'!$A$1:$H$125,match('Invoice (Courier)'!$H$1,'Invoice (Courier)'!$A$1:$H$1,FALSE),FALSE)),20)</f>
        <v>89.6</v>
      </c>
      <c r="U74" s="26">
        <f t="shared" si="8"/>
        <v>28.3</v>
      </c>
      <c r="V74" s="24">
        <f t="shared" si="9"/>
        <v>-31.58482143</v>
      </c>
      <c r="W74" s="24">
        <f t="shared" si="10"/>
        <v>78.33887043</v>
      </c>
      <c r="X74" s="24">
        <f t="shared" si="11"/>
        <v>0</v>
      </c>
    </row>
    <row r="75">
      <c r="A75" s="22" t="s">
        <v>111</v>
      </c>
      <c r="B75" s="22" t="s">
        <v>299</v>
      </c>
      <c r="C75" s="23">
        <v>580007.0</v>
      </c>
      <c r="D75" s="22" t="s">
        <v>157</v>
      </c>
      <c r="E75" s="24">
        <f t="shared" si="1"/>
        <v>179.8</v>
      </c>
      <c r="F75" s="24">
        <f t="shared" si="2"/>
        <v>0</v>
      </c>
      <c r="G75" s="23">
        <f t="shared" si="3"/>
        <v>1.517</v>
      </c>
      <c r="H75" s="24">
        <f>VLOOKUP(A75,'Order Report(X)'!$H$1:$I$125,2,FALSE)</f>
        <v>1517</v>
      </c>
      <c r="I75" s="24">
        <f t="shared" si="4"/>
        <v>2</v>
      </c>
      <c r="J75" s="24">
        <f t="shared" si="5"/>
        <v>2000</v>
      </c>
      <c r="K75" s="25" t="str">
        <f>vlookup(C75,'Pincode Zone (X)'!$G$1:$H$109,2,false)</f>
        <v>d</v>
      </c>
      <c r="L75" s="24">
        <f>ifs(K75="a",'Rates (Courier)'!$A$2,K75="b",'Rates (Courier)'!$C$2,K75="c",'Rates (Courier)'!$E$2,K75="d",'Rates (Courier)'!$G$2,K75="e",'Rates (Courier)'!$I$2)</f>
        <v>45.4</v>
      </c>
      <c r="M75" s="24">
        <f>ifs(K75="a",'Rates (Courier)'!$B$2,K75="b",'Rates (Courier)'!$D$2,K75="c",'Rates (Courier)'!$F$2,K75="d",'Rates (Courier)'!$H$2,K75="e",'Rates (Courier)'!$J$2)</f>
        <v>44.8</v>
      </c>
      <c r="N75" s="24">
        <f>ifs(K75="a",'Rates (Courier)'!$K$2,K75="b",'Rates (Courier)'!$M$2,K75="c",'Rates (Courier)'!$O$2,K75="d",'Rates (Courier)'!$Q$2,K75="e",'Rates (Courier)'!$S$2)</f>
        <v>41.3</v>
      </c>
      <c r="O75" s="24">
        <f>ifs(K75="a",'Rates (Courier)'!$L$2,K75="b",'Rates (Courier)'!$N$2,K75="c",'Rates (Courier)'!$P$2,K75="d",'Rates (Courier)'!$R$2,K75="e",'Rates (Courier)'!$T$2)</f>
        <v>44.8</v>
      </c>
      <c r="P75" s="26">
        <f t="shared" si="6"/>
        <v>179.8</v>
      </c>
      <c r="Q75" s="23">
        <f>VLOOKUP(B75,'Invoice (Courier)'!$A$1:$C$125,3,FALSE)</f>
        <v>1.5</v>
      </c>
      <c r="R75" s="27">
        <f t="shared" si="7"/>
        <v>1.5</v>
      </c>
      <c r="S75" s="28" t="str">
        <f>VLOOKUP(B75,'Invoice (Courier)'!$A$1:$F$125,match('Invoice (Courier)'!$F$1,'Invoice (Courier)'!$A$1:$F$1,FALSE),FALSE)</f>
        <v>d</v>
      </c>
      <c r="T75" s="26">
        <f>ROUND((VLOOKUP(B75,'Invoice (Courier)'!$A$1:$H$125,match('Invoice (Courier)'!$H$1,'Invoice (Courier)'!$A$1:$H$1,FALSE),FALSE)),20)</f>
        <v>135</v>
      </c>
      <c r="U75" s="26">
        <f t="shared" si="8"/>
        <v>44.8</v>
      </c>
      <c r="V75" s="24">
        <f t="shared" si="9"/>
        <v>-33.18518519</v>
      </c>
      <c r="W75" s="24">
        <f t="shared" si="10"/>
        <v>118.5234015</v>
      </c>
      <c r="X75" s="24">
        <f t="shared" si="11"/>
        <v>0</v>
      </c>
    </row>
    <row r="76">
      <c r="A76" s="22" t="s">
        <v>112</v>
      </c>
      <c r="B76" s="22" t="s">
        <v>301</v>
      </c>
      <c r="C76" s="23">
        <v>360005.0</v>
      </c>
      <c r="D76" s="22" t="s">
        <v>157</v>
      </c>
      <c r="E76" s="24">
        <f t="shared" si="1"/>
        <v>314.2</v>
      </c>
      <c r="F76" s="24">
        <f t="shared" si="2"/>
        <v>0</v>
      </c>
      <c r="G76" s="23">
        <f t="shared" si="3"/>
        <v>3.08</v>
      </c>
      <c r="H76" s="24">
        <f>VLOOKUP(A76,'Order Report(X)'!$H$1:$I$125,2,FALSE)</f>
        <v>3080</v>
      </c>
      <c r="I76" s="24">
        <f t="shared" si="4"/>
        <v>3.5</v>
      </c>
      <c r="J76" s="24">
        <f t="shared" si="5"/>
        <v>3500</v>
      </c>
      <c r="K76" s="25" t="str">
        <f>vlookup(C76,'Pincode Zone (X)'!$G$1:$H$109,2,false)</f>
        <v>d</v>
      </c>
      <c r="L76" s="24">
        <f>ifs(K76="a",'Rates (Courier)'!$A$2,K76="b",'Rates (Courier)'!$C$2,K76="c",'Rates (Courier)'!$E$2,K76="d",'Rates (Courier)'!$G$2,K76="e",'Rates (Courier)'!$I$2)</f>
        <v>45.4</v>
      </c>
      <c r="M76" s="24">
        <f>ifs(K76="a",'Rates (Courier)'!$B$2,K76="b",'Rates (Courier)'!$D$2,K76="c",'Rates (Courier)'!$F$2,K76="d",'Rates (Courier)'!$H$2,K76="e",'Rates (Courier)'!$J$2)</f>
        <v>44.8</v>
      </c>
      <c r="N76" s="24">
        <f>ifs(K76="a",'Rates (Courier)'!$K$2,K76="b",'Rates (Courier)'!$M$2,K76="c",'Rates (Courier)'!$O$2,K76="d",'Rates (Courier)'!$Q$2,K76="e",'Rates (Courier)'!$S$2)</f>
        <v>41.3</v>
      </c>
      <c r="O76" s="24">
        <f>ifs(K76="a",'Rates (Courier)'!$L$2,K76="b",'Rates (Courier)'!$N$2,K76="c",'Rates (Courier)'!$P$2,K76="d",'Rates (Courier)'!$R$2,K76="e",'Rates (Courier)'!$T$2)</f>
        <v>44.8</v>
      </c>
      <c r="P76" s="26">
        <f t="shared" si="6"/>
        <v>314.2</v>
      </c>
      <c r="Q76" s="23">
        <f>VLOOKUP(B76,'Invoice (Courier)'!$A$1:$C$125,3,FALSE)</f>
        <v>3</v>
      </c>
      <c r="R76" s="27">
        <f t="shared" si="7"/>
        <v>3</v>
      </c>
      <c r="S76" s="28" t="str">
        <f>VLOOKUP(B76,'Invoice (Courier)'!$A$1:$F$125,match('Invoice (Courier)'!$F$1,'Invoice (Courier)'!$A$1:$F$1,FALSE),FALSE)</f>
        <v>d</v>
      </c>
      <c r="T76" s="26">
        <f>ROUND((VLOOKUP(B76,'Invoice (Courier)'!$A$1:$H$125,match('Invoice (Courier)'!$H$1,'Invoice (Courier)'!$A$1:$H$1,FALSE),FALSE)),20)</f>
        <v>269.4</v>
      </c>
      <c r="U76" s="26">
        <f t="shared" si="8"/>
        <v>44.8</v>
      </c>
      <c r="V76" s="24">
        <f t="shared" si="9"/>
        <v>-16.62954714</v>
      </c>
      <c r="W76" s="24">
        <f t="shared" si="10"/>
        <v>102.012987</v>
      </c>
      <c r="X76" s="24">
        <f t="shared" si="11"/>
        <v>0</v>
      </c>
    </row>
    <row r="77">
      <c r="A77" s="22" t="s">
        <v>115</v>
      </c>
      <c r="B77" s="22" t="s">
        <v>303</v>
      </c>
      <c r="C77" s="23">
        <v>302001.0</v>
      </c>
      <c r="D77" s="22" t="s">
        <v>157</v>
      </c>
      <c r="E77" s="24">
        <f t="shared" si="1"/>
        <v>33</v>
      </c>
      <c r="F77" s="24">
        <f t="shared" si="2"/>
        <v>0</v>
      </c>
      <c r="G77" s="23">
        <f t="shared" si="3"/>
        <v>0.361</v>
      </c>
      <c r="H77" s="24">
        <f>VLOOKUP(A77,'Order Report(X)'!$H$1:$I$125,2,FALSE)</f>
        <v>361</v>
      </c>
      <c r="I77" s="24">
        <f t="shared" si="4"/>
        <v>0.5</v>
      </c>
      <c r="J77" s="24">
        <f t="shared" si="5"/>
        <v>500</v>
      </c>
      <c r="K77" s="25" t="str">
        <f>vlookup(C77,'Pincode Zone (X)'!$G$1:$H$109,2,false)</f>
        <v>b</v>
      </c>
      <c r="L77" s="24">
        <f>ifs(K77="a",'Rates (Courier)'!$A$2,K77="b",'Rates (Courier)'!$C$2,K77="c",'Rates (Courier)'!$E$2,K77="d",'Rates (Courier)'!$G$2,K77="e",'Rates (Courier)'!$I$2)</f>
        <v>33</v>
      </c>
      <c r="M77" s="24">
        <f>ifs(K77="a",'Rates (Courier)'!$B$2,K77="b",'Rates (Courier)'!$D$2,K77="c",'Rates (Courier)'!$F$2,K77="d",'Rates (Courier)'!$H$2,K77="e",'Rates (Courier)'!$J$2)</f>
        <v>28.3</v>
      </c>
      <c r="N77" s="24">
        <f>ifs(K77="a",'Rates (Courier)'!$K$2,K77="b",'Rates (Courier)'!$M$2,K77="c",'Rates (Courier)'!$O$2,K77="d",'Rates (Courier)'!$Q$2,K77="e",'Rates (Courier)'!$S$2)</f>
        <v>20.5</v>
      </c>
      <c r="O77" s="24">
        <f>ifs(K77="a",'Rates (Courier)'!$L$2,K77="b",'Rates (Courier)'!$N$2,K77="c",'Rates (Courier)'!$P$2,K77="d",'Rates (Courier)'!$R$2,K77="e",'Rates (Courier)'!$T$2)</f>
        <v>28.3</v>
      </c>
      <c r="P77" s="26">
        <f t="shared" si="6"/>
        <v>33</v>
      </c>
      <c r="Q77" s="23">
        <f>VLOOKUP(B77,'Invoice (Courier)'!$A$1:$C$125,3,FALSE)</f>
        <v>0.82</v>
      </c>
      <c r="R77" s="27">
        <f t="shared" si="7"/>
        <v>1</v>
      </c>
      <c r="S77" s="28" t="str">
        <f>VLOOKUP(B77,'Invoice (Courier)'!$A$1:$F$125,match('Invoice (Courier)'!$F$1,'Invoice (Courier)'!$A$1:$F$1,FALSE),FALSE)</f>
        <v>d</v>
      </c>
      <c r="T77" s="26">
        <f>ROUND((VLOOKUP(B77,'Invoice (Courier)'!$A$1:$H$125,match('Invoice (Courier)'!$H$1,'Invoice (Courier)'!$A$1:$H$1,FALSE),FALSE)),20)</f>
        <v>90.2</v>
      </c>
      <c r="U77" s="26">
        <f t="shared" si="8"/>
        <v>-57.2</v>
      </c>
      <c r="V77" s="24">
        <f t="shared" si="9"/>
        <v>63.41463415</v>
      </c>
      <c r="W77" s="24">
        <f t="shared" si="10"/>
        <v>91.41274238</v>
      </c>
      <c r="X77" s="24">
        <f t="shared" si="11"/>
        <v>0</v>
      </c>
    </row>
    <row r="78">
      <c r="A78" s="22" t="s">
        <v>116</v>
      </c>
      <c r="B78" s="22" t="s">
        <v>305</v>
      </c>
      <c r="C78" s="23">
        <v>334004.0</v>
      </c>
      <c r="D78" s="22" t="s">
        <v>157</v>
      </c>
      <c r="E78" s="24">
        <f t="shared" si="1"/>
        <v>61.3</v>
      </c>
      <c r="F78" s="24">
        <f t="shared" si="2"/>
        <v>0</v>
      </c>
      <c r="G78" s="23">
        <f t="shared" si="3"/>
        <v>0.601</v>
      </c>
      <c r="H78" s="24">
        <f>VLOOKUP(A78,'Order Report(X)'!$H$1:$I$125,2,FALSE)</f>
        <v>601</v>
      </c>
      <c r="I78" s="24">
        <f t="shared" si="4"/>
        <v>1</v>
      </c>
      <c r="J78" s="24">
        <f t="shared" si="5"/>
        <v>1000</v>
      </c>
      <c r="K78" s="25" t="str">
        <f>vlookup(C78,'Pincode Zone (X)'!$G$1:$H$109,2,false)</f>
        <v>b</v>
      </c>
      <c r="L78" s="24">
        <f>ifs(K78="a",'Rates (Courier)'!$A$2,K78="b",'Rates (Courier)'!$C$2,K78="c",'Rates (Courier)'!$E$2,K78="d",'Rates (Courier)'!$G$2,K78="e",'Rates (Courier)'!$I$2)</f>
        <v>33</v>
      </c>
      <c r="M78" s="24">
        <f>ifs(K78="a",'Rates (Courier)'!$B$2,K78="b",'Rates (Courier)'!$D$2,K78="c",'Rates (Courier)'!$F$2,K78="d",'Rates (Courier)'!$H$2,K78="e",'Rates (Courier)'!$J$2)</f>
        <v>28.3</v>
      </c>
      <c r="N78" s="24">
        <f>ifs(K78="a",'Rates (Courier)'!$K$2,K78="b",'Rates (Courier)'!$M$2,K78="c",'Rates (Courier)'!$O$2,K78="d",'Rates (Courier)'!$Q$2,K78="e",'Rates (Courier)'!$S$2)</f>
        <v>20.5</v>
      </c>
      <c r="O78" s="24">
        <f>ifs(K78="a",'Rates (Courier)'!$L$2,K78="b",'Rates (Courier)'!$N$2,K78="c",'Rates (Courier)'!$P$2,K78="d",'Rates (Courier)'!$R$2,K78="e",'Rates (Courier)'!$T$2)</f>
        <v>28.3</v>
      </c>
      <c r="P78" s="26">
        <f t="shared" si="6"/>
        <v>61.3</v>
      </c>
      <c r="Q78" s="23">
        <f>VLOOKUP(B78,'Invoice (Courier)'!$A$1:$C$125,3,FALSE)</f>
        <v>0.76</v>
      </c>
      <c r="R78" s="27">
        <f t="shared" si="7"/>
        <v>1</v>
      </c>
      <c r="S78" s="28" t="str">
        <f>VLOOKUP(B78,'Invoice (Courier)'!$A$1:$F$125,match('Invoice (Courier)'!$F$1,'Invoice (Courier)'!$A$1:$F$1,FALSE),FALSE)</f>
        <v>d</v>
      </c>
      <c r="T78" s="26">
        <f>ROUND((VLOOKUP(B78,'Invoice (Courier)'!$A$1:$H$125,match('Invoice (Courier)'!$H$1,'Invoice (Courier)'!$A$1:$H$1,FALSE),FALSE)),20)</f>
        <v>90.2</v>
      </c>
      <c r="U78" s="26">
        <f t="shared" si="8"/>
        <v>-28.9</v>
      </c>
      <c r="V78" s="24">
        <f t="shared" si="9"/>
        <v>32.03991131</v>
      </c>
      <c r="W78" s="24">
        <f t="shared" si="10"/>
        <v>101.9966722</v>
      </c>
      <c r="X78" s="24">
        <f t="shared" si="11"/>
        <v>0</v>
      </c>
    </row>
    <row r="79">
      <c r="A79" s="22" t="s">
        <v>117</v>
      </c>
      <c r="B79" s="22" t="s">
        <v>307</v>
      </c>
      <c r="C79" s="23">
        <v>302004.0</v>
      </c>
      <c r="D79" s="22" t="s">
        <v>157</v>
      </c>
      <c r="E79" s="24">
        <f t="shared" si="1"/>
        <v>33</v>
      </c>
      <c r="F79" s="24">
        <f t="shared" si="2"/>
        <v>0</v>
      </c>
      <c r="G79" s="23">
        <f t="shared" si="3"/>
        <v>0.5</v>
      </c>
      <c r="H79" s="24">
        <f>VLOOKUP(A79,'Order Report(X)'!$H$1:$I$125,2,FALSE)</f>
        <v>500</v>
      </c>
      <c r="I79" s="24">
        <f t="shared" si="4"/>
        <v>0.5</v>
      </c>
      <c r="J79" s="24">
        <f t="shared" si="5"/>
        <v>500</v>
      </c>
      <c r="K79" s="25" t="str">
        <f>vlookup(C79,'Pincode Zone (X)'!$G$1:$H$109,2,false)</f>
        <v>b</v>
      </c>
      <c r="L79" s="24">
        <f>ifs(K79="a",'Rates (Courier)'!$A$2,K79="b",'Rates (Courier)'!$C$2,K79="c",'Rates (Courier)'!$E$2,K79="d",'Rates (Courier)'!$G$2,K79="e",'Rates (Courier)'!$I$2)</f>
        <v>33</v>
      </c>
      <c r="M79" s="24">
        <f>ifs(K79="a",'Rates (Courier)'!$B$2,K79="b",'Rates (Courier)'!$D$2,K79="c",'Rates (Courier)'!$F$2,K79="d",'Rates (Courier)'!$H$2,K79="e",'Rates (Courier)'!$J$2)</f>
        <v>28.3</v>
      </c>
      <c r="N79" s="24">
        <f>ifs(K79="a",'Rates (Courier)'!$K$2,K79="b",'Rates (Courier)'!$M$2,K79="c",'Rates (Courier)'!$O$2,K79="d",'Rates (Courier)'!$Q$2,K79="e",'Rates (Courier)'!$S$2)</f>
        <v>20.5</v>
      </c>
      <c r="O79" s="24">
        <f>ifs(K79="a",'Rates (Courier)'!$L$2,K79="b",'Rates (Courier)'!$N$2,K79="c",'Rates (Courier)'!$P$2,K79="d",'Rates (Courier)'!$R$2,K79="e",'Rates (Courier)'!$T$2)</f>
        <v>28.3</v>
      </c>
      <c r="P79" s="26">
        <f t="shared" si="6"/>
        <v>33</v>
      </c>
      <c r="Q79" s="23">
        <f>VLOOKUP(B79,'Invoice (Courier)'!$A$1:$C$125,3,FALSE)</f>
        <v>0.66</v>
      </c>
      <c r="R79" s="27">
        <f t="shared" si="7"/>
        <v>1</v>
      </c>
      <c r="S79" s="28" t="str">
        <f>VLOOKUP(B79,'Invoice (Courier)'!$A$1:$F$125,match('Invoice (Courier)'!$F$1,'Invoice (Courier)'!$A$1:$F$1,FALSE),FALSE)</f>
        <v>d</v>
      </c>
      <c r="T79" s="26">
        <f>ROUND((VLOOKUP(B79,'Invoice (Courier)'!$A$1:$H$125,match('Invoice (Courier)'!$H$1,'Invoice (Courier)'!$A$1:$H$1,FALSE),FALSE)),20)</f>
        <v>90.2</v>
      </c>
      <c r="U79" s="26">
        <f t="shared" si="8"/>
        <v>-57.2</v>
      </c>
      <c r="V79" s="24">
        <f t="shared" si="9"/>
        <v>63.41463415</v>
      </c>
      <c r="W79" s="24">
        <f t="shared" si="10"/>
        <v>66</v>
      </c>
      <c r="X79" s="24">
        <f t="shared" si="11"/>
        <v>0</v>
      </c>
    </row>
    <row r="80">
      <c r="A80" s="22" t="s">
        <v>119</v>
      </c>
      <c r="B80" s="22" t="s">
        <v>309</v>
      </c>
      <c r="C80" s="23">
        <v>302018.0</v>
      </c>
      <c r="D80" s="22" t="s">
        <v>157</v>
      </c>
      <c r="E80" s="24">
        <f t="shared" si="1"/>
        <v>33</v>
      </c>
      <c r="F80" s="24">
        <f t="shared" si="2"/>
        <v>0</v>
      </c>
      <c r="G80" s="23">
        <f t="shared" si="3"/>
        <v>0.5</v>
      </c>
      <c r="H80" s="24">
        <f>VLOOKUP(A80,'Order Report(X)'!$H$1:$I$125,2,FALSE)</f>
        <v>500</v>
      </c>
      <c r="I80" s="24">
        <f t="shared" si="4"/>
        <v>0.5</v>
      </c>
      <c r="J80" s="24">
        <f t="shared" si="5"/>
        <v>500</v>
      </c>
      <c r="K80" s="25" t="str">
        <f>vlookup(C80,'Pincode Zone (X)'!$G$1:$H$109,2,false)</f>
        <v>b</v>
      </c>
      <c r="L80" s="24">
        <f>ifs(K80="a",'Rates (Courier)'!$A$2,K80="b",'Rates (Courier)'!$C$2,K80="c",'Rates (Courier)'!$E$2,K80="d",'Rates (Courier)'!$G$2,K80="e",'Rates (Courier)'!$I$2)</f>
        <v>33</v>
      </c>
      <c r="M80" s="24">
        <f>ifs(K80="a",'Rates (Courier)'!$B$2,K80="b",'Rates (Courier)'!$D$2,K80="c",'Rates (Courier)'!$F$2,K80="d",'Rates (Courier)'!$H$2,K80="e",'Rates (Courier)'!$J$2)</f>
        <v>28.3</v>
      </c>
      <c r="N80" s="24">
        <f>ifs(K80="a",'Rates (Courier)'!$K$2,K80="b",'Rates (Courier)'!$M$2,K80="c",'Rates (Courier)'!$O$2,K80="d",'Rates (Courier)'!$Q$2,K80="e",'Rates (Courier)'!$S$2)</f>
        <v>20.5</v>
      </c>
      <c r="O80" s="24">
        <f>ifs(K80="a",'Rates (Courier)'!$L$2,K80="b",'Rates (Courier)'!$N$2,K80="c",'Rates (Courier)'!$P$2,K80="d",'Rates (Courier)'!$R$2,K80="e",'Rates (Courier)'!$T$2)</f>
        <v>28.3</v>
      </c>
      <c r="P80" s="26">
        <f t="shared" si="6"/>
        <v>33</v>
      </c>
      <c r="Q80" s="23">
        <f>VLOOKUP(B80,'Invoice (Courier)'!$A$1:$C$125,3,FALSE)</f>
        <v>0.68</v>
      </c>
      <c r="R80" s="27">
        <f t="shared" si="7"/>
        <v>1</v>
      </c>
      <c r="S80" s="28" t="str">
        <f>VLOOKUP(B80,'Invoice (Courier)'!$A$1:$F$125,match('Invoice (Courier)'!$F$1,'Invoice (Courier)'!$A$1:$F$1,FALSE),FALSE)</f>
        <v>d</v>
      </c>
      <c r="T80" s="26">
        <f>ROUND((VLOOKUP(B80,'Invoice (Courier)'!$A$1:$H$125,match('Invoice (Courier)'!$H$1,'Invoice (Courier)'!$A$1:$H$1,FALSE),FALSE)),20)</f>
        <v>90.2</v>
      </c>
      <c r="U80" s="26">
        <f t="shared" si="8"/>
        <v>-57.2</v>
      </c>
      <c r="V80" s="24">
        <f t="shared" si="9"/>
        <v>63.41463415</v>
      </c>
      <c r="W80" s="24">
        <f t="shared" si="10"/>
        <v>66</v>
      </c>
      <c r="X80" s="24">
        <f t="shared" si="11"/>
        <v>0</v>
      </c>
    </row>
    <row r="81">
      <c r="A81" s="22" t="s">
        <v>120</v>
      </c>
      <c r="B81" s="22" t="s">
        <v>311</v>
      </c>
      <c r="C81" s="23">
        <v>302017.0</v>
      </c>
      <c r="D81" s="22" t="s">
        <v>157</v>
      </c>
      <c r="E81" s="24">
        <f t="shared" si="1"/>
        <v>61.3</v>
      </c>
      <c r="F81" s="24">
        <f t="shared" si="2"/>
        <v>0</v>
      </c>
      <c r="G81" s="23">
        <f t="shared" si="3"/>
        <v>0.986</v>
      </c>
      <c r="H81" s="24">
        <f>VLOOKUP(A81,'Order Report(X)'!$H$1:$I$125,2,FALSE)</f>
        <v>986</v>
      </c>
      <c r="I81" s="24">
        <f t="shared" si="4"/>
        <v>1</v>
      </c>
      <c r="J81" s="24">
        <f t="shared" si="5"/>
        <v>1000</v>
      </c>
      <c r="K81" s="25" t="str">
        <f>vlookup(C81,'Pincode Zone (X)'!$G$1:$H$109,2,false)</f>
        <v>b</v>
      </c>
      <c r="L81" s="24">
        <f>ifs(K81="a",'Rates (Courier)'!$A$2,K81="b",'Rates (Courier)'!$C$2,K81="c",'Rates (Courier)'!$E$2,K81="d",'Rates (Courier)'!$G$2,K81="e",'Rates (Courier)'!$I$2)</f>
        <v>33</v>
      </c>
      <c r="M81" s="24">
        <f>ifs(K81="a",'Rates (Courier)'!$B$2,K81="b",'Rates (Courier)'!$D$2,K81="c",'Rates (Courier)'!$F$2,K81="d",'Rates (Courier)'!$H$2,K81="e",'Rates (Courier)'!$J$2)</f>
        <v>28.3</v>
      </c>
      <c r="N81" s="24">
        <f>ifs(K81="a",'Rates (Courier)'!$K$2,K81="b",'Rates (Courier)'!$M$2,K81="c",'Rates (Courier)'!$O$2,K81="d",'Rates (Courier)'!$Q$2,K81="e",'Rates (Courier)'!$S$2)</f>
        <v>20.5</v>
      </c>
      <c r="O81" s="24">
        <f>ifs(K81="a",'Rates (Courier)'!$L$2,K81="b",'Rates (Courier)'!$N$2,K81="c",'Rates (Courier)'!$P$2,K81="d",'Rates (Courier)'!$R$2,K81="e",'Rates (Courier)'!$T$2)</f>
        <v>28.3</v>
      </c>
      <c r="P81" s="26">
        <f t="shared" si="6"/>
        <v>61.3</v>
      </c>
      <c r="Q81" s="23">
        <f>VLOOKUP(B81,'Invoice (Courier)'!$A$1:$C$125,3,FALSE)</f>
        <v>1.86</v>
      </c>
      <c r="R81" s="27">
        <f t="shared" si="7"/>
        <v>2</v>
      </c>
      <c r="S81" s="28" t="str">
        <f>VLOOKUP(B81,'Invoice (Courier)'!$A$1:$F$125,match('Invoice (Courier)'!$F$1,'Invoice (Courier)'!$A$1:$F$1,FALSE),FALSE)</f>
        <v>d</v>
      </c>
      <c r="T81" s="26">
        <f>ROUND((VLOOKUP(B81,'Invoice (Courier)'!$A$1:$H$125,match('Invoice (Courier)'!$H$1,'Invoice (Courier)'!$A$1:$H$1,FALSE),FALSE)),20)</f>
        <v>179.8</v>
      </c>
      <c r="U81" s="26">
        <f t="shared" si="8"/>
        <v>-118.5</v>
      </c>
      <c r="V81" s="24">
        <f t="shared" si="9"/>
        <v>65.90656285</v>
      </c>
      <c r="W81" s="24">
        <f t="shared" si="10"/>
        <v>62.1703854</v>
      </c>
      <c r="X81" s="24">
        <f t="shared" si="11"/>
        <v>0</v>
      </c>
    </row>
    <row r="82">
      <c r="A82" s="22" t="s">
        <v>121</v>
      </c>
      <c r="B82" s="22" t="s">
        <v>312</v>
      </c>
      <c r="C82" s="23">
        <v>324008.0</v>
      </c>
      <c r="D82" s="22" t="s">
        <v>157</v>
      </c>
      <c r="E82" s="24">
        <f t="shared" si="1"/>
        <v>61.3</v>
      </c>
      <c r="F82" s="24">
        <f t="shared" si="2"/>
        <v>0</v>
      </c>
      <c r="G82" s="23">
        <f t="shared" si="3"/>
        <v>0.607</v>
      </c>
      <c r="H82" s="24">
        <f>VLOOKUP(A82,'Order Report(X)'!$H$1:$I$125,2,FALSE)</f>
        <v>607</v>
      </c>
      <c r="I82" s="24">
        <f t="shared" si="4"/>
        <v>1</v>
      </c>
      <c r="J82" s="24">
        <f t="shared" si="5"/>
        <v>1000</v>
      </c>
      <c r="K82" s="25" t="str">
        <f>vlookup(C82,'Pincode Zone (X)'!$G$1:$H$109,2,false)</f>
        <v>b</v>
      </c>
      <c r="L82" s="24">
        <f>ifs(K82="a",'Rates (Courier)'!$A$2,K82="b",'Rates (Courier)'!$C$2,K82="c",'Rates (Courier)'!$E$2,K82="d",'Rates (Courier)'!$G$2,K82="e",'Rates (Courier)'!$I$2)</f>
        <v>33</v>
      </c>
      <c r="M82" s="24">
        <f>ifs(K82="a",'Rates (Courier)'!$B$2,K82="b",'Rates (Courier)'!$D$2,K82="c",'Rates (Courier)'!$F$2,K82="d",'Rates (Courier)'!$H$2,K82="e",'Rates (Courier)'!$J$2)</f>
        <v>28.3</v>
      </c>
      <c r="N82" s="24">
        <f>ifs(K82="a",'Rates (Courier)'!$K$2,K82="b",'Rates (Courier)'!$M$2,K82="c",'Rates (Courier)'!$O$2,K82="d",'Rates (Courier)'!$Q$2,K82="e",'Rates (Courier)'!$S$2)</f>
        <v>20.5</v>
      </c>
      <c r="O82" s="24">
        <f>ifs(K82="a",'Rates (Courier)'!$L$2,K82="b",'Rates (Courier)'!$N$2,K82="c",'Rates (Courier)'!$P$2,K82="d",'Rates (Courier)'!$R$2,K82="e",'Rates (Courier)'!$T$2)</f>
        <v>28.3</v>
      </c>
      <c r="P82" s="26">
        <f t="shared" si="6"/>
        <v>61.3</v>
      </c>
      <c r="Q82" s="23">
        <f>VLOOKUP(B82,'Invoice (Courier)'!$A$1:$C$125,3,FALSE)</f>
        <v>2.27</v>
      </c>
      <c r="R82" s="27">
        <f t="shared" si="7"/>
        <v>2.5</v>
      </c>
      <c r="S82" s="28" t="str">
        <f>VLOOKUP(B82,'Invoice (Courier)'!$A$1:$F$125,match('Invoice (Courier)'!$F$1,'Invoice (Courier)'!$A$1:$F$1,FALSE),FALSE)</f>
        <v>d</v>
      </c>
      <c r="T82" s="26">
        <f>ROUND((VLOOKUP(B82,'Invoice (Courier)'!$A$1:$H$125,match('Invoice (Courier)'!$H$1,'Invoice (Courier)'!$A$1:$H$1,FALSE),FALSE)),20)</f>
        <v>224.6</v>
      </c>
      <c r="U82" s="26">
        <f t="shared" si="8"/>
        <v>-163.3</v>
      </c>
      <c r="V82" s="24">
        <f t="shared" si="9"/>
        <v>72.70703473</v>
      </c>
      <c r="W82" s="24">
        <f t="shared" si="10"/>
        <v>100.9884679</v>
      </c>
      <c r="X82" s="24">
        <f t="shared" si="11"/>
        <v>0</v>
      </c>
    </row>
    <row r="83">
      <c r="A83" s="22" t="s">
        <v>122</v>
      </c>
      <c r="B83" s="22" t="s">
        <v>314</v>
      </c>
      <c r="C83" s="23">
        <v>302020.0</v>
      </c>
      <c r="D83" s="22" t="s">
        <v>157</v>
      </c>
      <c r="E83" s="24">
        <f t="shared" si="1"/>
        <v>33</v>
      </c>
      <c r="F83" s="24">
        <f t="shared" si="2"/>
        <v>0</v>
      </c>
      <c r="G83" s="23">
        <f t="shared" si="3"/>
        <v>0.488</v>
      </c>
      <c r="H83" s="24">
        <f>VLOOKUP(A83,'Order Report(X)'!$H$1:$I$125,2,FALSE)</f>
        <v>488</v>
      </c>
      <c r="I83" s="24">
        <f t="shared" si="4"/>
        <v>0.5</v>
      </c>
      <c r="J83" s="24">
        <f t="shared" si="5"/>
        <v>500</v>
      </c>
      <c r="K83" s="25" t="str">
        <f>vlookup(C83,'Pincode Zone (X)'!$G$1:$H$109,2,false)</f>
        <v>b</v>
      </c>
      <c r="L83" s="24">
        <f>ifs(K83="a",'Rates (Courier)'!$A$2,K83="b",'Rates (Courier)'!$C$2,K83="c",'Rates (Courier)'!$E$2,K83="d",'Rates (Courier)'!$G$2,K83="e",'Rates (Courier)'!$I$2)</f>
        <v>33</v>
      </c>
      <c r="M83" s="24">
        <f>ifs(K83="a",'Rates (Courier)'!$B$2,K83="b",'Rates (Courier)'!$D$2,K83="c",'Rates (Courier)'!$F$2,K83="d",'Rates (Courier)'!$H$2,K83="e",'Rates (Courier)'!$J$2)</f>
        <v>28.3</v>
      </c>
      <c r="N83" s="24">
        <f>ifs(K83="a",'Rates (Courier)'!$K$2,K83="b",'Rates (Courier)'!$M$2,K83="c",'Rates (Courier)'!$O$2,K83="d",'Rates (Courier)'!$Q$2,K83="e",'Rates (Courier)'!$S$2)</f>
        <v>20.5</v>
      </c>
      <c r="O83" s="24">
        <f>ifs(K83="a",'Rates (Courier)'!$L$2,K83="b",'Rates (Courier)'!$N$2,K83="c",'Rates (Courier)'!$P$2,K83="d",'Rates (Courier)'!$R$2,K83="e",'Rates (Courier)'!$T$2)</f>
        <v>28.3</v>
      </c>
      <c r="P83" s="26">
        <f t="shared" si="6"/>
        <v>33</v>
      </c>
      <c r="Q83" s="23">
        <f>VLOOKUP(B83,'Invoice (Courier)'!$A$1:$C$125,3,FALSE)</f>
        <v>0.68</v>
      </c>
      <c r="R83" s="27">
        <f t="shared" si="7"/>
        <v>1</v>
      </c>
      <c r="S83" s="28" t="str">
        <f>VLOOKUP(B83,'Invoice (Courier)'!$A$1:$F$125,match('Invoice (Courier)'!$F$1,'Invoice (Courier)'!$A$1:$F$1,FALSE),FALSE)</f>
        <v>d</v>
      </c>
      <c r="T83" s="26">
        <f>ROUND((VLOOKUP(B83,'Invoice (Courier)'!$A$1:$H$125,match('Invoice (Courier)'!$H$1,'Invoice (Courier)'!$A$1:$H$1,FALSE),FALSE)),20)</f>
        <v>90.2</v>
      </c>
      <c r="U83" s="26">
        <f t="shared" si="8"/>
        <v>-57.2</v>
      </c>
      <c r="V83" s="24">
        <f t="shared" si="9"/>
        <v>63.41463415</v>
      </c>
      <c r="W83" s="24">
        <f t="shared" si="10"/>
        <v>67.62295082</v>
      </c>
      <c r="X83" s="24">
        <f t="shared" si="11"/>
        <v>0</v>
      </c>
    </row>
    <row r="84">
      <c r="A84" s="22" t="s">
        <v>124</v>
      </c>
      <c r="B84" s="22" t="s">
        <v>316</v>
      </c>
      <c r="C84" s="23">
        <v>302018.0</v>
      </c>
      <c r="D84" s="22" t="s">
        <v>157</v>
      </c>
      <c r="E84" s="24">
        <f t="shared" si="1"/>
        <v>33</v>
      </c>
      <c r="F84" s="24">
        <f t="shared" si="2"/>
        <v>0</v>
      </c>
      <c r="G84" s="23">
        <f t="shared" si="3"/>
        <v>0.5</v>
      </c>
      <c r="H84" s="24">
        <f>VLOOKUP(A84,'Order Report(X)'!$H$1:$I$125,2,FALSE)</f>
        <v>500</v>
      </c>
      <c r="I84" s="24">
        <f t="shared" si="4"/>
        <v>0.5</v>
      </c>
      <c r="J84" s="24">
        <f t="shared" si="5"/>
        <v>500</v>
      </c>
      <c r="K84" s="25" t="str">
        <f>vlookup(C84,'Pincode Zone (X)'!$G$1:$H$109,2,false)</f>
        <v>b</v>
      </c>
      <c r="L84" s="24">
        <f>ifs(K84="a",'Rates (Courier)'!$A$2,K84="b",'Rates (Courier)'!$C$2,K84="c",'Rates (Courier)'!$E$2,K84="d",'Rates (Courier)'!$G$2,K84="e",'Rates (Courier)'!$I$2)</f>
        <v>33</v>
      </c>
      <c r="M84" s="24">
        <f>ifs(K84="a",'Rates (Courier)'!$B$2,K84="b",'Rates (Courier)'!$D$2,K84="c",'Rates (Courier)'!$F$2,K84="d",'Rates (Courier)'!$H$2,K84="e",'Rates (Courier)'!$J$2)</f>
        <v>28.3</v>
      </c>
      <c r="N84" s="24">
        <f>ifs(K84="a",'Rates (Courier)'!$K$2,K84="b",'Rates (Courier)'!$M$2,K84="c",'Rates (Courier)'!$O$2,K84="d",'Rates (Courier)'!$Q$2,K84="e",'Rates (Courier)'!$S$2)</f>
        <v>20.5</v>
      </c>
      <c r="O84" s="24">
        <f>ifs(K84="a",'Rates (Courier)'!$L$2,K84="b",'Rates (Courier)'!$N$2,K84="c",'Rates (Courier)'!$P$2,K84="d",'Rates (Courier)'!$R$2,K84="e",'Rates (Courier)'!$T$2)</f>
        <v>28.3</v>
      </c>
      <c r="P84" s="26">
        <f t="shared" si="6"/>
        <v>33</v>
      </c>
      <c r="Q84" s="23">
        <f>VLOOKUP(B84,'Invoice (Courier)'!$A$1:$C$125,3,FALSE)</f>
        <v>0.72</v>
      </c>
      <c r="R84" s="27">
        <f t="shared" si="7"/>
        <v>1</v>
      </c>
      <c r="S84" s="28" t="str">
        <f>VLOOKUP(B84,'Invoice (Courier)'!$A$1:$F$125,match('Invoice (Courier)'!$F$1,'Invoice (Courier)'!$A$1:$F$1,FALSE),FALSE)</f>
        <v>d</v>
      </c>
      <c r="T84" s="26">
        <f>ROUND((VLOOKUP(B84,'Invoice (Courier)'!$A$1:$H$125,match('Invoice (Courier)'!$H$1,'Invoice (Courier)'!$A$1:$H$1,FALSE),FALSE)),20)</f>
        <v>90.2</v>
      </c>
      <c r="U84" s="26">
        <f t="shared" si="8"/>
        <v>-57.2</v>
      </c>
      <c r="V84" s="24">
        <f t="shared" si="9"/>
        <v>63.41463415</v>
      </c>
      <c r="W84" s="24">
        <f t="shared" si="10"/>
        <v>66</v>
      </c>
      <c r="X84" s="24">
        <f t="shared" si="11"/>
        <v>0</v>
      </c>
    </row>
    <row r="85">
      <c r="A85" s="22" t="s">
        <v>125</v>
      </c>
      <c r="B85" s="22" t="s">
        <v>317</v>
      </c>
      <c r="C85" s="23">
        <v>321001.0</v>
      </c>
      <c r="D85" s="22" t="s">
        <v>157</v>
      </c>
      <c r="E85" s="24">
        <f t="shared" si="1"/>
        <v>61.3</v>
      </c>
      <c r="F85" s="24">
        <f t="shared" si="2"/>
        <v>0</v>
      </c>
      <c r="G85" s="23">
        <f t="shared" si="3"/>
        <v>0.607</v>
      </c>
      <c r="H85" s="24">
        <f>VLOOKUP(A85,'Order Report(X)'!$H$1:$I$125,2,FALSE)</f>
        <v>607</v>
      </c>
      <c r="I85" s="24">
        <f t="shared" si="4"/>
        <v>1</v>
      </c>
      <c r="J85" s="24">
        <f t="shared" si="5"/>
        <v>1000</v>
      </c>
      <c r="K85" s="25" t="str">
        <f>vlookup(C85,'Pincode Zone (X)'!$G$1:$H$109,2,false)</f>
        <v>b</v>
      </c>
      <c r="L85" s="24">
        <f>ifs(K85="a",'Rates (Courier)'!$A$2,K85="b",'Rates (Courier)'!$C$2,K85="c",'Rates (Courier)'!$E$2,K85="d",'Rates (Courier)'!$G$2,K85="e",'Rates (Courier)'!$I$2)</f>
        <v>33</v>
      </c>
      <c r="M85" s="24">
        <f>ifs(K85="a",'Rates (Courier)'!$B$2,K85="b",'Rates (Courier)'!$D$2,K85="c",'Rates (Courier)'!$F$2,K85="d",'Rates (Courier)'!$H$2,K85="e",'Rates (Courier)'!$J$2)</f>
        <v>28.3</v>
      </c>
      <c r="N85" s="24">
        <f>ifs(K85="a",'Rates (Courier)'!$K$2,K85="b",'Rates (Courier)'!$M$2,K85="c",'Rates (Courier)'!$O$2,K85="d",'Rates (Courier)'!$Q$2,K85="e",'Rates (Courier)'!$S$2)</f>
        <v>20.5</v>
      </c>
      <c r="O85" s="24">
        <f>ifs(K85="a",'Rates (Courier)'!$L$2,K85="b",'Rates (Courier)'!$N$2,K85="c",'Rates (Courier)'!$P$2,K85="d",'Rates (Courier)'!$R$2,K85="e",'Rates (Courier)'!$T$2)</f>
        <v>28.3</v>
      </c>
      <c r="P85" s="26">
        <f t="shared" si="6"/>
        <v>61.3</v>
      </c>
      <c r="Q85" s="23">
        <f>VLOOKUP(B85,'Invoice (Courier)'!$A$1:$C$125,3,FALSE)</f>
        <v>0.76</v>
      </c>
      <c r="R85" s="27">
        <f t="shared" si="7"/>
        <v>1</v>
      </c>
      <c r="S85" s="28" t="str">
        <f>VLOOKUP(B85,'Invoice (Courier)'!$A$1:$F$125,match('Invoice (Courier)'!$F$1,'Invoice (Courier)'!$A$1:$F$1,FALSE),FALSE)</f>
        <v>d</v>
      </c>
      <c r="T85" s="26">
        <f>ROUND((VLOOKUP(B85,'Invoice (Courier)'!$A$1:$H$125,match('Invoice (Courier)'!$H$1,'Invoice (Courier)'!$A$1:$H$1,FALSE),FALSE)),20)</f>
        <v>90.2</v>
      </c>
      <c r="U85" s="26">
        <f t="shared" si="8"/>
        <v>-28.9</v>
      </c>
      <c r="V85" s="24">
        <f t="shared" si="9"/>
        <v>32.03991131</v>
      </c>
      <c r="W85" s="24">
        <f t="shared" si="10"/>
        <v>100.9884679</v>
      </c>
      <c r="X85" s="24">
        <f t="shared" si="11"/>
        <v>0</v>
      </c>
    </row>
    <row r="86">
      <c r="A86" s="22" t="s">
        <v>126</v>
      </c>
      <c r="B86" s="22" t="s">
        <v>319</v>
      </c>
      <c r="C86" s="23">
        <v>562110.0</v>
      </c>
      <c r="D86" s="22" t="s">
        <v>253</v>
      </c>
      <c r="E86" s="24">
        <f t="shared" si="1"/>
        <v>135</v>
      </c>
      <c r="F86" s="24">
        <f t="shared" si="2"/>
        <v>130.9</v>
      </c>
      <c r="G86" s="23">
        <f t="shared" si="3"/>
        <v>1.032</v>
      </c>
      <c r="H86" s="24">
        <f>VLOOKUP(A86,'Order Report(X)'!$H$1:$I$125,2,FALSE)</f>
        <v>1032</v>
      </c>
      <c r="I86" s="24">
        <f t="shared" si="4"/>
        <v>1.5</v>
      </c>
      <c r="J86" s="24">
        <f t="shared" si="5"/>
        <v>1500</v>
      </c>
      <c r="K86" s="25" t="str">
        <f>vlookup(C86,'Pincode Zone (X)'!$G$1:$H$109,2,false)</f>
        <v>d</v>
      </c>
      <c r="L86" s="24">
        <f>ifs(K86="a",'Rates (Courier)'!$A$2,K86="b",'Rates (Courier)'!$C$2,K86="c",'Rates (Courier)'!$E$2,K86="d",'Rates (Courier)'!$G$2,K86="e",'Rates (Courier)'!$I$2)</f>
        <v>45.4</v>
      </c>
      <c r="M86" s="24">
        <f>ifs(K86="a",'Rates (Courier)'!$B$2,K86="b",'Rates (Courier)'!$D$2,K86="c",'Rates (Courier)'!$F$2,K86="d",'Rates (Courier)'!$H$2,K86="e",'Rates (Courier)'!$J$2)</f>
        <v>44.8</v>
      </c>
      <c r="N86" s="24">
        <f>ifs(K86="a",'Rates (Courier)'!$K$2,K86="b",'Rates (Courier)'!$M$2,K86="c",'Rates (Courier)'!$O$2,K86="d",'Rates (Courier)'!$Q$2,K86="e",'Rates (Courier)'!$S$2)</f>
        <v>41.3</v>
      </c>
      <c r="O86" s="24">
        <f>ifs(K86="a",'Rates (Courier)'!$L$2,K86="b",'Rates (Courier)'!$N$2,K86="c",'Rates (Courier)'!$P$2,K86="d",'Rates (Courier)'!$R$2,K86="e",'Rates (Courier)'!$T$2)</f>
        <v>44.8</v>
      </c>
      <c r="P86" s="26">
        <f t="shared" si="6"/>
        <v>265.9</v>
      </c>
      <c r="Q86" s="23">
        <f>VLOOKUP(B86,'Invoice (Courier)'!$A$1:$C$125,3,FALSE)</f>
        <v>1.13</v>
      </c>
      <c r="R86" s="27">
        <f t="shared" si="7"/>
        <v>1.5</v>
      </c>
      <c r="S86" s="28" t="str">
        <f>VLOOKUP(B86,'Invoice (Courier)'!$A$1:$F$125,match('Invoice (Courier)'!$F$1,'Invoice (Courier)'!$A$1:$F$1,FALSE),FALSE)</f>
        <v>d</v>
      </c>
      <c r="T86" s="26">
        <f>ROUND((VLOOKUP(B86,'Invoice (Courier)'!$A$1:$H$125,match('Invoice (Courier)'!$H$1,'Invoice (Courier)'!$A$1:$H$1,FALSE),FALSE)),20)</f>
        <v>258.9</v>
      </c>
      <c r="U86" s="26">
        <f t="shared" si="8"/>
        <v>7</v>
      </c>
      <c r="V86" s="24">
        <f t="shared" si="9"/>
        <v>-2.70374662</v>
      </c>
      <c r="W86" s="24">
        <f t="shared" si="10"/>
        <v>130.8139535</v>
      </c>
      <c r="X86" s="24">
        <f t="shared" si="11"/>
        <v>126.8410853</v>
      </c>
    </row>
    <row r="87">
      <c r="A87" s="22" t="s">
        <v>127</v>
      </c>
      <c r="B87" s="22" t="s">
        <v>321</v>
      </c>
      <c r="C87" s="23">
        <v>324001.0</v>
      </c>
      <c r="D87" s="22" t="s">
        <v>157</v>
      </c>
      <c r="E87" s="24">
        <f t="shared" si="1"/>
        <v>61.3</v>
      </c>
      <c r="F87" s="24">
        <f t="shared" si="2"/>
        <v>0</v>
      </c>
      <c r="G87" s="23">
        <f t="shared" si="3"/>
        <v>0.505</v>
      </c>
      <c r="H87" s="24">
        <f>VLOOKUP(A87,'Order Report(X)'!$H$1:$I$125,2,FALSE)</f>
        <v>505</v>
      </c>
      <c r="I87" s="24">
        <f t="shared" si="4"/>
        <v>1</v>
      </c>
      <c r="J87" s="24">
        <f t="shared" si="5"/>
        <v>1000</v>
      </c>
      <c r="K87" s="25" t="str">
        <f>vlookup(C87,'Pincode Zone (X)'!$G$1:$H$109,2,false)</f>
        <v>b</v>
      </c>
      <c r="L87" s="24">
        <f>ifs(K87="a",'Rates (Courier)'!$A$2,K87="b",'Rates (Courier)'!$C$2,K87="c",'Rates (Courier)'!$E$2,K87="d",'Rates (Courier)'!$G$2,K87="e",'Rates (Courier)'!$I$2)</f>
        <v>33</v>
      </c>
      <c r="M87" s="24">
        <f>ifs(K87="a",'Rates (Courier)'!$B$2,K87="b",'Rates (Courier)'!$D$2,K87="c",'Rates (Courier)'!$F$2,K87="d",'Rates (Courier)'!$H$2,K87="e",'Rates (Courier)'!$J$2)</f>
        <v>28.3</v>
      </c>
      <c r="N87" s="24">
        <f>ifs(K87="a",'Rates (Courier)'!$K$2,K87="b",'Rates (Courier)'!$M$2,K87="c",'Rates (Courier)'!$O$2,K87="d",'Rates (Courier)'!$Q$2,K87="e",'Rates (Courier)'!$S$2)</f>
        <v>20.5</v>
      </c>
      <c r="O87" s="24">
        <f>ifs(K87="a",'Rates (Courier)'!$L$2,K87="b",'Rates (Courier)'!$N$2,K87="c",'Rates (Courier)'!$P$2,K87="d",'Rates (Courier)'!$R$2,K87="e",'Rates (Courier)'!$T$2)</f>
        <v>28.3</v>
      </c>
      <c r="P87" s="26">
        <f t="shared" si="6"/>
        <v>61.3</v>
      </c>
      <c r="Q87" s="23">
        <f>VLOOKUP(B87,'Invoice (Courier)'!$A$1:$C$125,3,FALSE)</f>
        <v>0.6</v>
      </c>
      <c r="R87" s="27">
        <f t="shared" si="7"/>
        <v>1</v>
      </c>
      <c r="S87" s="28" t="str">
        <f>VLOOKUP(B87,'Invoice (Courier)'!$A$1:$F$125,match('Invoice (Courier)'!$F$1,'Invoice (Courier)'!$A$1:$F$1,FALSE),FALSE)</f>
        <v>d</v>
      </c>
      <c r="T87" s="26">
        <f>ROUND((VLOOKUP(B87,'Invoice (Courier)'!$A$1:$H$125,match('Invoice (Courier)'!$H$1,'Invoice (Courier)'!$A$1:$H$1,FALSE),FALSE)),20)</f>
        <v>90.2</v>
      </c>
      <c r="U87" s="26">
        <f t="shared" si="8"/>
        <v>-28.9</v>
      </c>
      <c r="V87" s="24">
        <f t="shared" si="9"/>
        <v>32.03991131</v>
      </c>
      <c r="W87" s="24">
        <f t="shared" si="10"/>
        <v>121.3861386</v>
      </c>
      <c r="X87" s="24">
        <f t="shared" si="11"/>
        <v>0</v>
      </c>
    </row>
    <row r="88">
      <c r="A88" s="22" t="s">
        <v>130</v>
      </c>
      <c r="B88" s="22" t="s">
        <v>323</v>
      </c>
      <c r="C88" s="23">
        <v>302017.0</v>
      </c>
      <c r="D88" s="22" t="s">
        <v>157</v>
      </c>
      <c r="E88" s="24">
        <f t="shared" si="1"/>
        <v>61.3</v>
      </c>
      <c r="F88" s="24">
        <f t="shared" si="2"/>
        <v>0</v>
      </c>
      <c r="G88" s="23">
        <f t="shared" si="3"/>
        <v>0.945</v>
      </c>
      <c r="H88" s="24">
        <f>VLOOKUP(A88,'Order Report(X)'!$H$1:$I$125,2,FALSE)</f>
        <v>945</v>
      </c>
      <c r="I88" s="24">
        <f t="shared" si="4"/>
        <v>1</v>
      </c>
      <c r="J88" s="24">
        <f t="shared" si="5"/>
        <v>1000</v>
      </c>
      <c r="K88" s="25" t="str">
        <f>vlookup(C88,'Pincode Zone (X)'!$G$1:$H$109,2,false)</f>
        <v>b</v>
      </c>
      <c r="L88" s="24">
        <f>ifs(K88="a",'Rates (Courier)'!$A$2,K88="b",'Rates (Courier)'!$C$2,K88="c",'Rates (Courier)'!$E$2,K88="d",'Rates (Courier)'!$G$2,K88="e",'Rates (Courier)'!$I$2)</f>
        <v>33</v>
      </c>
      <c r="M88" s="24">
        <f>ifs(K88="a",'Rates (Courier)'!$B$2,K88="b",'Rates (Courier)'!$D$2,K88="c",'Rates (Courier)'!$F$2,K88="d",'Rates (Courier)'!$H$2,K88="e",'Rates (Courier)'!$J$2)</f>
        <v>28.3</v>
      </c>
      <c r="N88" s="24">
        <f>ifs(K88="a",'Rates (Courier)'!$K$2,K88="b",'Rates (Courier)'!$M$2,K88="c",'Rates (Courier)'!$O$2,K88="d",'Rates (Courier)'!$Q$2,K88="e",'Rates (Courier)'!$S$2)</f>
        <v>20.5</v>
      </c>
      <c r="O88" s="24">
        <f>ifs(K88="a",'Rates (Courier)'!$L$2,K88="b",'Rates (Courier)'!$N$2,K88="c",'Rates (Courier)'!$P$2,K88="d",'Rates (Courier)'!$R$2,K88="e",'Rates (Courier)'!$T$2)</f>
        <v>28.3</v>
      </c>
      <c r="P88" s="26">
        <f t="shared" si="6"/>
        <v>61.3</v>
      </c>
      <c r="Q88" s="23">
        <f>VLOOKUP(B88,'Invoice (Courier)'!$A$1:$C$125,3,FALSE)</f>
        <v>1.1</v>
      </c>
      <c r="R88" s="27">
        <f t="shared" si="7"/>
        <v>1.5</v>
      </c>
      <c r="S88" s="28" t="str">
        <f>VLOOKUP(B88,'Invoice (Courier)'!$A$1:$F$125,match('Invoice (Courier)'!$F$1,'Invoice (Courier)'!$A$1:$F$1,FALSE),FALSE)</f>
        <v>d</v>
      </c>
      <c r="T88" s="26">
        <f>ROUND((VLOOKUP(B88,'Invoice (Courier)'!$A$1:$H$125,match('Invoice (Courier)'!$H$1,'Invoice (Courier)'!$A$1:$H$1,FALSE),FALSE)),20)</f>
        <v>135</v>
      </c>
      <c r="U88" s="26">
        <f t="shared" si="8"/>
        <v>-73.7</v>
      </c>
      <c r="V88" s="24">
        <f t="shared" si="9"/>
        <v>54.59259259</v>
      </c>
      <c r="W88" s="24">
        <f t="shared" si="10"/>
        <v>64.86772487</v>
      </c>
      <c r="X88" s="24">
        <f t="shared" si="11"/>
        <v>0</v>
      </c>
    </row>
    <row r="89">
      <c r="A89" s="22" t="s">
        <v>132</v>
      </c>
      <c r="B89" s="22" t="s">
        <v>324</v>
      </c>
      <c r="C89" s="23">
        <v>321608.0</v>
      </c>
      <c r="D89" s="22" t="s">
        <v>157</v>
      </c>
      <c r="E89" s="24">
        <f t="shared" si="1"/>
        <v>61.3</v>
      </c>
      <c r="F89" s="24">
        <f t="shared" si="2"/>
        <v>0</v>
      </c>
      <c r="G89" s="23">
        <f t="shared" si="3"/>
        <v>0.508</v>
      </c>
      <c r="H89" s="24">
        <f>VLOOKUP(A89,'Order Report(X)'!$H$1:$I$125,2,FALSE)</f>
        <v>508</v>
      </c>
      <c r="I89" s="24">
        <f t="shared" si="4"/>
        <v>1</v>
      </c>
      <c r="J89" s="24">
        <f t="shared" si="5"/>
        <v>1000</v>
      </c>
      <c r="K89" s="25" t="str">
        <f>vlookup(C89,'Pincode Zone (X)'!$G$1:$H$109,2,false)</f>
        <v>b</v>
      </c>
      <c r="L89" s="24">
        <f>ifs(K89="a",'Rates (Courier)'!$A$2,K89="b",'Rates (Courier)'!$C$2,K89="c",'Rates (Courier)'!$E$2,K89="d",'Rates (Courier)'!$G$2,K89="e",'Rates (Courier)'!$I$2)</f>
        <v>33</v>
      </c>
      <c r="M89" s="24">
        <f>ifs(K89="a",'Rates (Courier)'!$B$2,K89="b",'Rates (Courier)'!$D$2,K89="c",'Rates (Courier)'!$F$2,K89="d",'Rates (Courier)'!$H$2,K89="e",'Rates (Courier)'!$J$2)</f>
        <v>28.3</v>
      </c>
      <c r="N89" s="24">
        <f>ifs(K89="a",'Rates (Courier)'!$K$2,K89="b",'Rates (Courier)'!$M$2,K89="c",'Rates (Courier)'!$O$2,K89="d",'Rates (Courier)'!$Q$2,K89="e",'Rates (Courier)'!$S$2)</f>
        <v>20.5</v>
      </c>
      <c r="O89" s="24">
        <f>ifs(K89="a",'Rates (Courier)'!$L$2,K89="b",'Rates (Courier)'!$N$2,K89="c",'Rates (Courier)'!$P$2,K89="d",'Rates (Courier)'!$R$2,K89="e",'Rates (Courier)'!$T$2)</f>
        <v>28.3</v>
      </c>
      <c r="P89" s="26">
        <f t="shared" si="6"/>
        <v>61.3</v>
      </c>
      <c r="Q89" s="23">
        <f>VLOOKUP(B89,'Invoice (Courier)'!$A$1:$C$125,3,FALSE)</f>
        <v>0.59</v>
      </c>
      <c r="R89" s="27">
        <f t="shared" si="7"/>
        <v>1</v>
      </c>
      <c r="S89" s="28" t="str">
        <f>VLOOKUP(B89,'Invoice (Courier)'!$A$1:$F$125,match('Invoice (Courier)'!$F$1,'Invoice (Courier)'!$A$1:$F$1,FALSE),FALSE)</f>
        <v>d</v>
      </c>
      <c r="T89" s="26">
        <f>ROUND((VLOOKUP(B89,'Invoice (Courier)'!$A$1:$H$125,match('Invoice (Courier)'!$H$1,'Invoice (Courier)'!$A$1:$H$1,FALSE),FALSE)),20)</f>
        <v>90.2</v>
      </c>
      <c r="U89" s="26">
        <f t="shared" si="8"/>
        <v>-28.9</v>
      </c>
      <c r="V89" s="24">
        <f t="shared" si="9"/>
        <v>32.03991131</v>
      </c>
      <c r="W89" s="24">
        <f t="shared" si="10"/>
        <v>120.6692913</v>
      </c>
      <c r="X89" s="24">
        <f t="shared" si="11"/>
        <v>0</v>
      </c>
    </row>
    <row r="90">
      <c r="A90" s="22" t="s">
        <v>133</v>
      </c>
      <c r="B90" s="22" t="s">
        <v>326</v>
      </c>
      <c r="C90" s="23">
        <v>302002.0</v>
      </c>
      <c r="D90" s="22" t="s">
        <v>157</v>
      </c>
      <c r="E90" s="24">
        <f t="shared" si="1"/>
        <v>61.3</v>
      </c>
      <c r="F90" s="24">
        <f t="shared" si="2"/>
        <v>0</v>
      </c>
      <c r="G90" s="23">
        <f t="shared" si="3"/>
        <v>0.607</v>
      </c>
      <c r="H90" s="24">
        <f>VLOOKUP(A90,'Order Report(X)'!$H$1:$I$125,2,FALSE)</f>
        <v>607</v>
      </c>
      <c r="I90" s="24">
        <f t="shared" si="4"/>
        <v>1</v>
      </c>
      <c r="J90" s="24">
        <f t="shared" si="5"/>
        <v>1000</v>
      </c>
      <c r="K90" s="25" t="str">
        <f>vlookup(C90,'Pincode Zone (X)'!$G$1:$H$109,2,false)</f>
        <v>b</v>
      </c>
      <c r="L90" s="24">
        <f>ifs(K90="a",'Rates (Courier)'!$A$2,K90="b",'Rates (Courier)'!$C$2,K90="c",'Rates (Courier)'!$E$2,K90="d",'Rates (Courier)'!$G$2,K90="e",'Rates (Courier)'!$I$2)</f>
        <v>33</v>
      </c>
      <c r="M90" s="24">
        <f>ifs(K90="a",'Rates (Courier)'!$B$2,K90="b",'Rates (Courier)'!$D$2,K90="c",'Rates (Courier)'!$F$2,K90="d",'Rates (Courier)'!$H$2,K90="e",'Rates (Courier)'!$J$2)</f>
        <v>28.3</v>
      </c>
      <c r="N90" s="24">
        <f>ifs(K90="a",'Rates (Courier)'!$K$2,K90="b",'Rates (Courier)'!$M$2,K90="c",'Rates (Courier)'!$O$2,K90="d",'Rates (Courier)'!$Q$2,K90="e",'Rates (Courier)'!$S$2)</f>
        <v>20.5</v>
      </c>
      <c r="O90" s="24">
        <f>ifs(K90="a",'Rates (Courier)'!$L$2,K90="b",'Rates (Courier)'!$N$2,K90="c",'Rates (Courier)'!$P$2,K90="d",'Rates (Courier)'!$R$2,K90="e",'Rates (Courier)'!$T$2)</f>
        <v>28.3</v>
      </c>
      <c r="P90" s="26">
        <f t="shared" si="6"/>
        <v>61.3</v>
      </c>
      <c r="Q90" s="23">
        <f>VLOOKUP(B90,'Invoice (Courier)'!$A$1:$C$125,3,FALSE)</f>
        <v>0.8</v>
      </c>
      <c r="R90" s="27">
        <f t="shared" si="7"/>
        <v>1</v>
      </c>
      <c r="S90" s="28" t="str">
        <f>VLOOKUP(B90,'Invoice (Courier)'!$A$1:$F$125,match('Invoice (Courier)'!$F$1,'Invoice (Courier)'!$A$1:$F$1,FALSE),FALSE)</f>
        <v>d</v>
      </c>
      <c r="T90" s="26">
        <f>ROUND((VLOOKUP(B90,'Invoice (Courier)'!$A$1:$H$125,match('Invoice (Courier)'!$H$1,'Invoice (Courier)'!$A$1:$H$1,FALSE),FALSE)),20)</f>
        <v>90.2</v>
      </c>
      <c r="U90" s="26">
        <f t="shared" si="8"/>
        <v>-28.9</v>
      </c>
      <c r="V90" s="24">
        <f t="shared" si="9"/>
        <v>32.03991131</v>
      </c>
      <c r="W90" s="24">
        <f t="shared" si="10"/>
        <v>100.9884679</v>
      </c>
      <c r="X90" s="24">
        <f t="shared" si="11"/>
        <v>0</v>
      </c>
    </row>
    <row r="91">
      <c r="A91" s="22" t="s">
        <v>136</v>
      </c>
      <c r="B91" s="22" t="s">
        <v>328</v>
      </c>
      <c r="C91" s="23">
        <v>173212.0</v>
      </c>
      <c r="D91" s="22" t="s">
        <v>157</v>
      </c>
      <c r="E91" s="24">
        <f t="shared" si="1"/>
        <v>112.1</v>
      </c>
      <c r="F91" s="24">
        <f t="shared" si="2"/>
        <v>0</v>
      </c>
      <c r="G91" s="23">
        <f t="shared" si="3"/>
        <v>0.721</v>
      </c>
      <c r="H91" s="24">
        <f>VLOOKUP(A91,'Order Report(X)'!$H$1:$I$125,2,FALSE)</f>
        <v>721</v>
      </c>
      <c r="I91" s="24">
        <f t="shared" si="4"/>
        <v>1</v>
      </c>
      <c r="J91" s="24">
        <f t="shared" si="5"/>
        <v>1000</v>
      </c>
      <c r="K91" s="25" t="str">
        <f>vlookup(C91,'Pincode Zone (X)'!$G$1:$H$109,2,false)</f>
        <v>e</v>
      </c>
      <c r="L91" s="24">
        <f>ifs(K91="a",'Rates (Courier)'!$A$2,K91="b",'Rates (Courier)'!$C$2,K91="c",'Rates (Courier)'!$E$2,K91="d",'Rates (Courier)'!$G$2,K91="e",'Rates (Courier)'!$I$2)</f>
        <v>56.6</v>
      </c>
      <c r="M91" s="24">
        <f>ifs(K91="a",'Rates (Courier)'!$B$2,K91="b",'Rates (Courier)'!$D$2,K91="c",'Rates (Courier)'!$F$2,K91="d",'Rates (Courier)'!$H$2,K91="e",'Rates (Courier)'!$J$2)</f>
        <v>55.5</v>
      </c>
      <c r="N91" s="24">
        <f>ifs(K91="a",'Rates (Courier)'!$K$2,K91="b",'Rates (Courier)'!$M$2,K91="c",'Rates (Courier)'!$O$2,K91="d",'Rates (Courier)'!$Q$2,K91="e",'Rates (Courier)'!$S$2)</f>
        <v>50.7</v>
      </c>
      <c r="O91" s="24">
        <f>ifs(K91="a",'Rates (Courier)'!$L$2,K91="b",'Rates (Courier)'!$N$2,K91="c",'Rates (Courier)'!$P$2,K91="d",'Rates (Courier)'!$R$2,K91="e",'Rates (Courier)'!$T$2)</f>
        <v>55.5</v>
      </c>
      <c r="P91" s="26">
        <f t="shared" si="6"/>
        <v>112.1</v>
      </c>
      <c r="Q91" s="23">
        <f>VLOOKUP(B91,'Invoice (Courier)'!$A$1:$C$125,3,FALSE)</f>
        <v>0.8</v>
      </c>
      <c r="R91" s="27">
        <f t="shared" si="7"/>
        <v>1</v>
      </c>
      <c r="S91" s="28" t="str">
        <f>VLOOKUP(B91,'Invoice (Courier)'!$A$1:$F$125,match('Invoice (Courier)'!$F$1,'Invoice (Courier)'!$A$1:$F$1,FALSE),FALSE)</f>
        <v>b</v>
      </c>
      <c r="T91" s="26">
        <f>ROUND((VLOOKUP(B91,'Invoice (Courier)'!$A$1:$H$125,match('Invoice (Courier)'!$H$1,'Invoice (Courier)'!$A$1:$H$1,FALSE),FALSE)),20)</f>
        <v>61.3</v>
      </c>
      <c r="U91" s="26">
        <f t="shared" si="8"/>
        <v>50.8</v>
      </c>
      <c r="V91" s="24">
        <f t="shared" si="9"/>
        <v>-82.87112561</v>
      </c>
      <c r="W91" s="24">
        <f t="shared" si="10"/>
        <v>155.4785021</v>
      </c>
      <c r="X91" s="24">
        <f t="shared" si="11"/>
        <v>0</v>
      </c>
    </row>
    <row r="92">
      <c r="A92" s="22" t="s">
        <v>137</v>
      </c>
      <c r="B92" s="22" t="s">
        <v>330</v>
      </c>
      <c r="C92" s="23">
        <v>311011.0</v>
      </c>
      <c r="D92" s="22" t="s">
        <v>253</v>
      </c>
      <c r="E92" s="24">
        <f t="shared" si="1"/>
        <v>33</v>
      </c>
      <c r="F92" s="24">
        <f t="shared" si="2"/>
        <v>20.5</v>
      </c>
      <c r="G92" s="23">
        <f t="shared" si="3"/>
        <v>0.5</v>
      </c>
      <c r="H92" s="24">
        <f>VLOOKUP(A92,'Order Report(X)'!$H$1:$I$125,2,FALSE)</f>
        <v>500</v>
      </c>
      <c r="I92" s="24">
        <f t="shared" si="4"/>
        <v>0.5</v>
      </c>
      <c r="J92" s="24">
        <f t="shared" si="5"/>
        <v>500</v>
      </c>
      <c r="K92" s="25" t="str">
        <f>vlookup(C92,'Pincode Zone (X)'!$G$1:$H$109,2,false)</f>
        <v>b</v>
      </c>
      <c r="L92" s="24">
        <f>ifs(K92="a",'Rates (Courier)'!$A$2,K92="b",'Rates (Courier)'!$C$2,K92="c",'Rates (Courier)'!$E$2,K92="d",'Rates (Courier)'!$G$2,K92="e",'Rates (Courier)'!$I$2)</f>
        <v>33</v>
      </c>
      <c r="M92" s="24">
        <f>ifs(K92="a",'Rates (Courier)'!$B$2,K92="b",'Rates (Courier)'!$D$2,K92="c",'Rates (Courier)'!$F$2,K92="d",'Rates (Courier)'!$H$2,K92="e",'Rates (Courier)'!$J$2)</f>
        <v>28.3</v>
      </c>
      <c r="N92" s="24">
        <f>ifs(K92="a",'Rates (Courier)'!$K$2,K92="b",'Rates (Courier)'!$M$2,K92="c",'Rates (Courier)'!$O$2,K92="d",'Rates (Courier)'!$Q$2,K92="e",'Rates (Courier)'!$S$2)</f>
        <v>20.5</v>
      </c>
      <c r="O92" s="24">
        <f>ifs(K92="a",'Rates (Courier)'!$L$2,K92="b",'Rates (Courier)'!$N$2,K92="c",'Rates (Courier)'!$P$2,K92="d",'Rates (Courier)'!$R$2,K92="e",'Rates (Courier)'!$T$2)</f>
        <v>28.3</v>
      </c>
      <c r="P92" s="26">
        <f t="shared" si="6"/>
        <v>53.5</v>
      </c>
      <c r="Q92" s="23">
        <f>VLOOKUP(B92,'Invoice (Courier)'!$A$1:$C$125,3,FALSE)</f>
        <v>0.5</v>
      </c>
      <c r="R92" s="27">
        <f t="shared" si="7"/>
        <v>0.5</v>
      </c>
      <c r="S92" s="28" t="str">
        <f>VLOOKUP(B92,'Invoice (Courier)'!$A$1:$F$125,match('Invoice (Courier)'!$F$1,'Invoice (Courier)'!$A$1:$F$1,FALSE),FALSE)</f>
        <v>d</v>
      </c>
      <c r="T92" s="26">
        <f>ROUND((VLOOKUP(B92,'Invoice (Courier)'!$A$1:$H$125,match('Invoice (Courier)'!$H$1,'Invoice (Courier)'!$A$1:$H$1,FALSE),FALSE)),20)</f>
        <v>86.7</v>
      </c>
      <c r="U92" s="26">
        <f t="shared" si="8"/>
        <v>-33.2</v>
      </c>
      <c r="V92" s="24">
        <f t="shared" si="9"/>
        <v>38.29296424</v>
      </c>
      <c r="W92" s="24">
        <f t="shared" si="10"/>
        <v>66</v>
      </c>
      <c r="X92" s="24">
        <f t="shared" si="11"/>
        <v>41</v>
      </c>
    </row>
    <row r="93">
      <c r="A93" s="22" t="s">
        <v>134</v>
      </c>
      <c r="B93" s="22" t="s">
        <v>332</v>
      </c>
      <c r="C93" s="23">
        <v>302012.0</v>
      </c>
      <c r="D93" s="22" t="s">
        <v>157</v>
      </c>
      <c r="E93" s="24">
        <f t="shared" si="1"/>
        <v>33</v>
      </c>
      <c r="F93" s="24">
        <f t="shared" si="2"/>
        <v>0</v>
      </c>
      <c r="G93" s="23">
        <f t="shared" si="3"/>
        <v>0.5</v>
      </c>
      <c r="H93" s="24">
        <f>VLOOKUP(A93,'Order Report(X)'!$H$1:$I$125,2,FALSE)</f>
        <v>500</v>
      </c>
      <c r="I93" s="24">
        <f t="shared" si="4"/>
        <v>0.5</v>
      </c>
      <c r="J93" s="24">
        <f t="shared" si="5"/>
        <v>500</v>
      </c>
      <c r="K93" s="25" t="str">
        <f>vlookup(C93,'Pincode Zone (X)'!$G$1:$H$109,2,false)</f>
        <v>b</v>
      </c>
      <c r="L93" s="24">
        <f>ifs(K93="a",'Rates (Courier)'!$A$2,K93="b",'Rates (Courier)'!$C$2,K93="c",'Rates (Courier)'!$E$2,K93="d",'Rates (Courier)'!$G$2,K93="e",'Rates (Courier)'!$I$2)</f>
        <v>33</v>
      </c>
      <c r="M93" s="24">
        <f>ifs(K93="a",'Rates (Courier)'!$B$2,K93="b",'Rates (Courier)'!$D$2,K93="c",'Rates (Courier)'!$F$2,K93="d",'Rates (Courier)'!$H$2,K93="e",'Rates (Courier)'!$J$2)</f>
        <v>28.3</v>
      </c>
      <c r="N93" s="24">
        <f>ifs(K93="a",'Rates (Courier)'!$K$2,K93="b",'Rates (Courier)'!$M$2,K93="c",'Rates (Courier)'!$O$2,K93="d",'Rates (Courier)'!$Q$2,K93="e",'Rates (Courier)'!$S$2)</f>
        <v>20.5</v>
      </c>
      <c r="O93" s="24">
        <f>ifs(K93="a",'Rates (Courier)'!$L$2,K93="b",'Rates (Courier)'!$N$2,K93="c",'Rates (Courier)'!$P$2,K93="d",'Rates (Courier)'!$R$2,K93="e",'Rates (Courier)'!$T$2)</f>
        <v>28.3</v>
      </c>
      <c r="P93" s="26">
        <f t="shared" si="6"/>
        <v>33</v>
      </c>
      <c r="Q93" s="23">
        <f>VLOOKUP(B93,'Invoice (Courier)'!$A$1:$C$125,3,FALSE)</f>
        <v>0.67</v>
      </c>
      <c r="R93" s="27">
        <f t="shared" si="7"/>
        <v>1</v>
      </c>
      <c r="S93" s="28" t="str">
        <f>VLOOKUP(B93,'Invoice (Courier)'!$A$1:$F$125,match('Invoice (Courier)'!$F$1,'Invoice (Courier)'!$A$1:$F$1,FALSE),FALSE)</f>
        <v>d</v>
      </c>
      <c r="T93" s="26">
        <f>ROUND((VLOOKUP(B93,'Invoice (Courier)'!$A$1:$H$125,match('Invoice (Courier)'!$H$1,'Invoice (Courier)'!$A$1:$H$1,FALSE),FALSE)),20)</f>
        <v>90.2</v>
      </c>
      <c r="U93" s="26">
        <f t="shared" si="8"/>
        <v>-57.2</v>
      </c>
      <c r="V93" s="24">
        <f t="shared" si="9"/>
        <v>63.41463415</v>
      </c>
      <c r="W93" s="24">
        <f t="shared" si="10"/>
        <v>66</v>
      </c>
      <c r="X93" s="24">
        <f t="shared" si="11"/>
        <v>0</v>
      </c>
    </row>
    <row r="94">
      <c r="A94" s="22" t="s">
        <v>128</v>
      </c>
      <c r="B94" s="22" t="s">
        <v>333</v>
      </c>
      <c r="C94" s="23">
        <v>262405.0</v>
      </c>
      <c r="D94" s="22" t="s">
        <v>253</v>
      </c>
      <c r="E94" s="24">
        <f t="shared" si="1"/>
        <v>61.3</v>
      </c>
      <c r="F94" s="24">
        <f t="shared" si="2"/>
        <v>48.8</v>
      </c>
      <c r="G94" s="23">
        <f t="shared" si="3"/>
        <v>0.558</v>
      </c>
      <c r="H94" s="24">
        <f>VLOOKUP(A94,'Order Report(X)'!$H$1:$I$125,2,FALSE)</f>
        <v>558</v>
      </c>
      <c r="I94" s="24">
        <f t="shared" si="4"/>
        <v>1</v>
      </c>
      <c r="J94" s="24">
        <f t="shared" si="5"/>
        <v>1000</v>
      </c>
      <c r="K94" s="25" t="str">
        <f>vlookup(C94,'Pincode Zone (X)'!$G$1:$H$109,2,false)</f>
        <v>b</v>
      </c>
      <c r="L94" s="24">
        <f>ifs(K94="a",'Rates (Courier)'!$A$2,K94="b",'Rates (Courier)'!$C$2,K94="c",'Rates (Courier)'!$E$2,K94="d",'Rates (Courier)'!$G$2,K94="e",'Rates (Courier)'!$I$2)</f>
        <v>33</v>
      </c>
      <c r="M94" s="24">
        <f>ifs(K94="a",'Rates (Courier)'!$B$2,K94="b",'Rates (Courier)'!$D$2,K94="c",'Rates (Courier)'!$F$2,K94="d",'Rates (Courier)'!$H$2,K94="e",'Rates (Courier)'!$J$2)</f>
        <v>28.3</v>
      </c>
      <c r="N94" s="24">
        <f>ifs(K94="a",'Rates (Courier)'!$K$2,K94="b",'Rates (Courier)'!$M$2,K94="c",'Rates (Courier)'!$O$2,K94="d",'Rates (Courier)'!$Q$2,K94="e",'Rates (Courier)'!$S$2)</f>
        <v>20.5</v>
      </c>
      <c r="O94" s="24">
        <f>ifs(K94="a",'Rates (Courier)'!$L$2,K94="b",'Rates (Courier)'!$N$2,K94="c",'Rates (Courier)'!$P$2,K94="d",'Rates (Courier)'!$R$2,K94="e",'Rates (Courier)'!$T$2)</f>
        <v>28.3</v>
      </c>
      <c r="P94" s="26">
        <f t="shared" si="6"/>
        <v>110.1</v>
      </c>
      <c r="Q94" s="23">
        <f>VLOOKUP(B94,'Invoice (Courier)'!$A$1:$C$125,3,FALSE)</f>
        <v>0.6</v>
      </c>
      <c r="R94" s="27">
        <f t="shared" si="7"/>
        <v>1</v>
      </c>
      <c r="S94" s="28" t="str">
        <f>VLOOKUP(B94,'Invoice (Courier)'!$A$1:$F$125,match('Invoice (Courier)'!$F$1,'Invoice (Courier)'!$A$1:$F$1,FALSE),FALSE)</f>
        <v>b</v>
      </c>
      <c r="T94" s="26">
        <f>ROUND((VLOOKUP(B94,'Invoice (Courier)'!$A$1:$H$125,match('Invoice (Courier)'!$H$1,'Invoice (Courier)'!$A$1:$H$1,FALSE),FALSE)),20)</f>
        <v>102.3</v>
      </c>
      <c r="U94" s="26">
        <f t="shared" si="8"/>
        <v>7.8</v>
      </c>
      <c r="V94" s="24">
        <f t="shared" si="9"/>
        <v>-7.624633431</v>
      </c>
      <c r="W94" s="24">
        <f t="shared" si="10"/>
        <v>109.8566308</v>
      </c>
      <c r="X94" s="24">
        <f t="shared" si="11"/>
        <v>87.45519713</v>
      </c>
    </row>
    <row r="95">
      <c r="A95" s="22" t="s">
        <v>118</v>
      </c>
      <c r="B95" s="22" t="s">
        <v>335</v>
      </c>
      <c r="C95" s="23">
        <v>306302.0</v>
      </c>
      <c r="D95" s="22" t="s">
        <v>157</v>
      </c>
      <c r="E95" s="24">
        <f t="shared" si="1"/>
        <v>174.5</v>
      </c>
      <c r="F95" s="24">
        <f t="shared" si="2"/>
        <v>0</v>
      </c>
      <c r="G95" s="23">
        <f t="shared" si="3"/>
        <v>2.572</v>
      </c>
      <c r="H95" s="24">
        <f>VLOOKUP(A95,'Order Report(X)'!$H$1:$I$125,2,FALSE)</f>
        <v>2572</v>
      </c>
      <c r="I95" s="24">
        <f t="shared" si="4"/>
        <v>3</v>
      </c>
      <c r="J95" s="24">
        <f t="shared" si="5"/>
        <v>3000</v>
      </c>
      <c r="K95" s="25" t="str">
        <f>vlookup(C95,'Pincode Zone (X)'!$G$1:$H$109,2,false)</f>
        <v>b</v>
      </c>
      <c r="L95" s="24">
        <f>ifs(K95="a",'Rates (Courier)'!$A$2,K95="b",'Rates (Courier)'!$C$2,K95="c",'Rates (Courier)'!$E$2,K95="d",'Rates (Courier)'!$G$2,K95="e",'Rates (Courier)'!$I$2)</f>
        <v>33</v>
      </c>
      <c r="M95" s="24">
        <f>ifs(K95="a",'Rates (Courier)'!$B$2,K95="b",'Rates (Courier)'!$D$2,K95="c",'Rates (Courier)'!$F$2,K95="d",'Rates (Courier)'!$H$2,K95="e",'Rates (Courier)'!$J$2)</f>
        <v>28.3</v>
      </c>
      <c r="N95" s="24">
        <f>ifs(K95="a",'Rates (Courier)'!$K$2,K95="b",'Rates (Courier)'!$M$2,K95="c",'Rates (Courier)'!$O$2,K95="d",'Rates (Courier)'!$Q$2,K95="e",'Rates (Courier)'!$S$2)</f>
        <v>20.5</v>
      </c>
      <c r="O95" s="24">
        <f>ifs(K95="a",'Rates (Courier)'!$L$2,K95="b",'Rates (Courier)'!$N$2,K95="c",'Rates (Courier)'!$P$2,K95="d",'Rates (Courier)'!$R$2,K95="e",'Rates (Courier)'!$T$2)</f>
        <v>28.3</v>
      </c>
      <c r="P95" s="26">
        <f t="shared" si="6"/>
        <v>174.5</v>
      </c>
      <c r="Q95" s="23">
        <f>VLOOKUP(B95,'Invoice (Courier)'!$A$1:$C$125,3,FALSE)</f>
        <v>2.94</v>
      </c>
      <c r="R95" s="27">
        <f t="shared" si="7"/>
        <v>3</v>
      </c>
      <c r="S95" s="28" t="str">
        <f>VLOOKUP(B95,'Invoice (Courier)'!$A$1:$F$125,match('Invoice (Courier)'!$F$1,'Invoice (Courier)'!$A$1:$F$1,FALSE),FALSE)</f>
        <v>d</v>
      </c>
      <c r="T95" s="26">
        <f>ROUND((VLOOKUP(B95,'Invoice (Courier)'!$A$1:$H$125,match('Invoice (Courier)'!$H$1,'Invoice (Courier)'!$A$1:$H$1,FALSE),FALSE)),20)</f>
        <v>269.4</v>
      </c>
      <c r="U95" s="26">
        <f t="shared" si="8"/>
        <v>-94.9</v>
      </c>
      <c r="V95" s="24">
        <f t="shared" si="9"/>
        <v>35.2264291</v>
      </c>
      <c r="W95" s="24">
        <f t="shared" si="10"/>
        <v>67.84603421</v>
      </c>
      <c r="X95" s="24">
        <f t="shared" si="11"/>
        <v>0</v>
      </c>
    </row>
    <row r="96">
      <c r="A96" s="22" t="s">
        <v>114</v>
      </c>
      <c r="B96" s="22" t="s">
        <v>337</v>
      </c>
      <c r="C96" s="23">
        <v>325207.0</v>
      </c>
      <c r="D96" s="22" t="s">
        <v>157</v>
      </c>
      <c r="E96" s="24">
        <f t="shared" si="1"/>
        <v>33</v>
      </c>
      <c r="F96" s="24">
        <f t="shared" si="2"/>
        <v>0</v>
      </c>
      <c r="G96" s="23">
        <f t="shared" si="3"/>
        <v>0.5</v>
      </c>
      <c r="H96" s="24">
        <f>VLOOKUP(A96,'Order Report(X)'!$H$1:$I$125,2,FALSE)</f>
        <v>500</v>
      </c>
      <c r="I96" s="24">
        <f t="shared" si="4"/>
        <v>0.5</v>
      </c>
      <c r="J96" s="24">
        <f t="shared" si="5"/>
        <v>500</v>
      </c>
      <c r="K96" s="25" t="str">
        <f>vlookup(C96,'Pincode Zone (X)'!$G$1:$H$109,2,false)</f>
        <v>b</v>
      </c>
      <c r="L96" s="24">
        <f>ifs(K96="a",'Rates (Courier)'!$A$2,K96="b",'Rates (Courier)'!$C$2,K96="c",'Rates (Courier)'!$E$2,K96="d",'Rates (Courier)'!$G$2,K96="e",'Rates (Courier)'!$I$2)</f>
        <v>33</v>
      </c>
      <c r="M96" s="24">
        <f>ifs(K96="a",'Rates (Courier)'!$B$2,K96="b",'Rates (Courier)'!$D$2,K96="c",'Rates (Courier)'!$F$2,K96="d",'Rates (Courier)'!$H$2,K96="e",'Rates (Courier)'!$J$2)</f>
        <v>28.3</v>
      </c>
      <c r="N96" s="24">
        <f>ifs(K96="a",'Rates (Courier)'!$K$2,K96="b",'Rates (Courier)'!$M$2,K96="c",'Rates (Courier)'!$O$2,K96="d",'Rates (Courier)'!$Q$2,K96="e",'Rates (Courier)'!$S$2)</f>
        <v>20.5</v>
      </c>
      <c r="O96" s="24">
        <f>ifs(K96="a",'Rates (Courier)'!$L$2,K96="b",'Rates (Courier)'!$N$2,K96="c",'Rates (Courier)'!$P$2,K96="d",'Rates (Courier)'!$R$2,K96="e",'Rates (Courier)'!$T$2)</f>
        <v>28.3</v>
      </c>
      <c r="P96" s="26">
        <f t="shared" si="6"/>
        <v>33</v>
      </c>
      <c r="Q96" s="23">
        <f>VLOOKUP(B96,'Invoice (Courier)'!$A$1:$C$125,3,FALSE)</f>
        <v>0.73</v>
      </c>
      <c r="R96" s="27">
        <f t="shared" si="7"/>
        <v>1</v>
      </c>
      <c r="S96" s="28" t="str">
        <f>VLOOKUP(B96,'Invoice (Courier)'!$A$1:$F$125,match('Invoice (Courier)'!$F$1,'Invoice (Courier)'!$A$1:$F$1,FALSE),FALSE)</f>
        <v>d</v>
      </c>
      <c r="T96" s="26">
        <f>ROUND((VLOOKUP(B96,'Invoice (Courier)'!$A$1:$H$125,match('Invoice (Courier)'!$H$1,'Invoice (Courier)'!$A$1:$H$1,FALSE),FALSE)),20)</f>
        <v>90.2</v>
      </c>
      <c r="U96" s="26">
        <f t="shared" si="8"/>
        <v>-57.2</v>
      </c>
      <c r="V96" s="24">
        <f t="shared" si="9"/>
        <v>63.41463415</v>
      </c>
      <c r="W96" s="24">
        <f t="shared" si="10"/>
        <v>66</v>
      </c>
      <c r="X96" s="24">
        <f t="shared" si="11"/>
        <v>0</v>
      </c>
    </row>
    <row r="97">
      <c r="A97" s="22" t="s">
        <v>108</v>
      </c>
      <c r="B97" s="22" t="s">
        <v>339</v>
      </c>
      <c r="C97" s="23">
        <v>313001.0</v>
      </c>
      <c r="D97" s="22" t="s">
        <v>157</v>
      </c>
      <c r="E97" s="24">
        <f t="shared" si="1"/>
        <v>61.3</v>
      </c>
      <c r="F97" s="24">
        <f t="shared" si="2"/>
        <v>0</v>
      </c>
      <c r="G97" s="23">
        <f t="shared" si="3"/>
        <v>0.72</v>
      </c>
      <c r="H97" s="24">
        <f>VLOOKUP(A97,'Order Report(X)'!$H$1:$I$125,2,FALSE)</f>
        <v>720</v>
      </c>
      <c r="I97" s="24">
        <f t="shared" si="4"/>
        <v>1</v>
      </c>
      <c r="J97" s="24">
        <f t="shared" si="5"/>
        <v>1000</v>
      </c>
      <c r="K97" s="25" t="str">
        <f>vlookup(C97,'Pincode Zone (X)'!$G$1:$H$109,2,false)</f>
        <v>b</v>
      </c>
      <c r="L97" s="24">
        <f>ifs(K97="a",'Rates (Courier)'!$A$2,K97="b",'Rates (Courier)'!$C$2,K97="c",'Rates (Courier)'!$E$2,K97="d",'Rates (Courier)'!$G$2,K97="e",'Rates (Courier)'!$I$2)</f>
        <v>33</v>
      </c>
      <c r="M97" s="24">
        <f>ifs(K97="a",'Rates (Courier)'!$B$2,K97="b",'Rates (Courier)'!$D$2,K97="c",'Rates (Courier)'!$F$2,K97="d",'Rates (Courier)'!$H$2,K97="e",'Rates (Courier)'!$J$2)</f>
        <v>28.3</v>
      </c>
      <c r="N97" s="24">
        <f>ifs(K97="a",'Rates (Courier)'!$K$2,K97="b",'Rates (Courier)'!$M$2,K97="c",'Rates (Courier)'!$O$2,K97="d",'Rates (Courier)'!$Q$2,K97="e",'Rates (Courier)'!$S$2)</f>
        <v>20.5</v>
      </c>
      <c r="O97" s="24">
        <f>ifs(K97="a",'Rates (Courier)'!$L$2,K97="b",'Rates (Courier)'!$N$2,K97="c",'Rates (Courier)'!$P$2,K97="d",'Rates (Courier)'!$R$2,K97="e",'Rates (Courier)'!$T$2)</f>
        <v>28.3</v>
      </c>
      <c r="P97" s="26">
        <f t="shared" si="6"/>
        <v>61.3</v>
      </c>
      <c r="Q97" s="23">
        <f>VLOOKUP(B97,'Invoice (Courier)'!$A$1:$C$125,3,FALSE)</f>
        <v>1</v>
      </c>
      <c r="R97" s="27">
        <f t="shared" si="7"/>
        <v>1</v>
      </c>
      <c r="S97" s="28" t="str">
        <f>VLOOKUP(B97,'Invoice (Courier)'!$A$1:$F$125,match('Invoice (Courier)'!$F$1,'Invoice (Courier)'!$A$1:$F$1,FALSE),FALSE)</f>
        <v>d</v>
      </c>
      <c r="T97" s="26">
        <f>ROUND((VLOOKUP(B97,'Invoice (Courier)'!$A$1:$H$125,match('Invoice (Courier)'!$H$1,'Invoice (Courier)'!$A$1:$H$1,FALSE),FALSE)),20)</f>
        <v>90.2</v>
      </c>
      <c r="U97" s="26">
        <f t="shared" si="8"/>
        <v>-28.9</v>
      </c>
      <c r="V97" s="24">
        <f t="shared" si="9"/>
        <v>32.03991131</v>
      </c>
      <c r="W97" s="24">
        <f t="shared" si="10"/>
        <v>85.13888889</v>
      </c>
      <c r="X97" s="24">
        <f t="shared" si="11"/>
        <v>0</v>
      </c>
    </row>
    <row r="98">
      <c r="A98" s="22" t="s">
        <v>131</v>
      </c>
      <c r="B98" s="22" t="s">
        <v>341</v>
      </c>
      <c r="C98" s="23">
        <v>302002.0</v>
      </c>
      <c r="D98" s="22" t="s">
        <v>157</v>
      </c>
      <c r="E98" s="24">
        <f t="shared" si="1"/>
        <v>61.3</v>
      </c>
      <c r="F98" s="24">
        <f t="shared" si="2"/>
        <v>0</v>
      </c>
      <c r="G98" s="23">
        <f t="shared" si="3"/>
        <v>0.563</v>
      </c>
      <c r="H98" s="24">
        <f>VLOOKUP(A98,'Order Report(X)'!$H$1:$I$125,2,FALSE)</f>
        <v>563</v>
      </c>
      <c r="I98" s="24">
        <f t="shared" si="4"/>
        <v>1</v>
      </c>
      <c r="J98" s="24">
        <f t="shared" si="5"/>
        <v>1000</v>
      </c>
      <c r="K98" s="25" t="str">
        <f>vlookup(C98,'Pincode Zone (X)'!$G$1:$H$109,2,false)</f>
        <v>b</v>
      </c>
      <c r="L98" s="24">
        <f>ifs(K98="a",'Rates (Courier)'!$A$2,K98="b",'Rates (Courier)'!$C$2,K98="c",'Rates (Courier)'!$E$2,K98="d",'Rates (Courier)'!$G$2,K98="e",'Rates (Courier)'!$I$2)</f>
        <v>33</v>
      </c>
      <c r="M98" s="24">
        <f>ifs(K98="a",'Rates (Courier)'!$B$2,K98="b",'Rates (Courier)'!$D$2,K98="c",'Rates (Courier)'!$F$2,K98="d",'Rates (Courier)'!$H$2,K98="e",'Rates (Courier)'!$J$2)</f>
        <v>28.3</v>
      </c>
      <c r="N98" s="24">
        <f>ifs(K98="a",'Rates (Courier)'!$K$2,K98="b",'Rates (Courier)'!$M$2,K98="c",'Rates (Courier)'!$O$2,K98="d",'Rates (Courier)'!$Q$2,K98="e",'Rates (Courier)'!$S$2)</f>
        <v>20.5</v>
      </c>
      <c r="O98" s="24">
        <f>ifs(K98="a",'Rates (Courier)'!$L$2,K98="b",'Rates (Courier)'!$N$2,K98="c",'Rates (Courier)'!$P$2,K98="d",'Rates (Courier)'!$R$2,K98="e",'Rates (Courier)'!$T$2)</f>
        <v>28.3</v>
      </c>
      <c r="P98" s="26">
        <f t="shared" si="6"/>
        <v>61.3</v>
      </c>
      <c r="Q98" s="23">
        <f>VLOOKUP(B98,'Invoice (Courier)'!$A$1:$C$125,3,FALSE)</f>
        <v>0.61</v>
      </c>
      <c r="R98" s="27">
        <f t="shared" si="7"/>
        <v>1</v>
      </c>
      <c r="S98" s="28" t="str">
        <f>VLOOKUP(B98,'Invoice (Courier)'!$A$1:$F$125,match('Invoice (Courier)'!$F$1,'Invoice (Courier)'!$A$1:$F$1,FALSE),FALSE)</f>
        <v>d</v>
      </c>
      <c r="T98" s="26">
        <f>ROUND((VLOOKUP(B98,'Invoice (Courier)'!$A$1:$H$125,match('Invoice (Courier)'!$H$1,'Invoice (Courier)'!$A$1:$H$1,FALSE),FALSE)),20)</f>
        <v>90.2</v>
      </c>
      <c r="U98" s="26">
        <f t="shared" si="8"/>
        <v>-28.9</v>
      </c>
      <c r="V98" s="24">
        <f t="shared" si="9"/>
        <v>32.03991131</v>
      </c>
      <c r="W98" s="24">
        <f t="shared" si="10"/>
        <v>108.8809947</v>
      </c>
      <c r="X98" s="24">
        <f t="shared" si="11"/>
        <v>0</v>
      </c>
    </row>
    <row r="99">
      <c r="A99" s="22" t="s">
        <v>106</v>
      </c>
      <c r="B99" s="22" t="s">
        <v>342</v>
      </c>
      <c r="C99" s="23">
        <v>322255.0</v>
      </c>
      <c r="D99" s="22" t="s">
        <v>253</v>
      </c>
      <c r="E99" s="24">
        <f t="shared" si="1"/>
        <v>33</v>
      </c>
      <c r="F99" s="24">
        <f t="shared" si="2"/>
        <v>20.5</v>
      </c>
      <c r="G99" s="23">
        <f t="shared" si="3"/>
        <v>0.127</v>
      </c>
      <c r="H99" s="24">
        <f>VLOOKUP(A99,'Order Report(X)'!$H$1:$I$125,2,FALSE)</f>
        <v>127</v>
      </c>
      <c r="I99" s="24">
        <f t="shared" si="4"/>
        <v>0.5</v>
      </c>
      <c r="J99" s="24">
        <f t="shared" si="5"/>
        <v>500</v>
      </c>
      <c r="K99" s="25" t="str">
        <f>vlookup(C99,'Pincode Zone (X)'!$G$1:$H$109,2,false)</f>
        <v>b</v>
      </c>
      <c r="L99" s="24">
        <f>ifs(K99="a",'Rates (Courier)'!$A$2,K99="b",'Rates (Courier)'!$C$2,K99="c",'Rates (Courier)'!$E$2,K99="d",'Rates (Courier)'!$G$2,K99="e",'Rates (Courier)'!$I$2)</f>
        <v>33</v>
      </c>
      <c r="M99" s="24">
        <f>ifs(K99="a",'Rates (Courier)'!$B$2,K99="b",'Rates (Courier)'!$D$2,K99="c",'Rates (Courier)'!$F$2,K99="d",'Rates (Courier)'!$H$2,K99="e",'Rates (Courier)'!$J$2)</f>
        <v>28.3</v>
      </c>
      <c r="N99" s="24">
        <f>ifs(K99="a",'Rates (Courier)'!$K$2,K99="b",'Rates (Courier)'!$M$2,K99="c",'Rates (Courier)'!$O$2,K99="d",'Rates (Courier)'!$Q$2,K99="e",'Rates (Courier)'!$S$2)</f>
        <v>20.5</v>
      </c>
      <c r="O99" s="24">
        <f>ifs(K99="a",'Rates (Courier)'!$L$2,K99="b",'Rates (Courier)'!$N$2,K99="c",'Rates (Courier)'!$P$2,K99="d",'Rates (Courier)'!$R$2,K99="e",'Rates (Courier)'!$T$2)</f>
        <v>28.3</v>
      </c>
      <c r="P99" s="26">
        <f t="shared" si="6"/>
        <v>53.5</v>
      </c>
      <c r="Q99" s="23">
        <f>VLOOKUP(B99,'Invoice (Courier)'!$A$1:$C$125,3,FALSE)</f>
        <v>0.15</v>
      </c>
      <c r="R99" s="27">
        <f t="shared" si="7"/>
        <v>0.5</v>
      </c>
      <c r="S99" s="28" t="str">
        <f>VLOOKUP(B99,'Invoice (Courier)'!$A$1:$F$125,match('Invoice (Courier)'!$F$1,'Invoice (Courier)'!$A$1:$F$1,FALSE),FALSE)</f>
        <v>d</v>
      </c>
      <c r="T99" s="26">
        <f>ROUND((VLOOKUP(B99,'Invoice (Courier)'!$A$1:$H$125,match('Invoice (Courier)'!$H$1,'Invoice (Courier)'!$A$1:$H$1,FALSE),FALSE)),20)</f>
        <v>86.7</v>
      </c>
      <c r="U99" s="26">
        <f t="shared" si="8"/>
        <v>-33.2</v>
      </c>
      <c r="V99" s="24">
        <f t="shared" si="9"/>
        <v>38.29296424</v>
      </c>
      <c r="W99" s="24">
        <f t="shared" si="10"/>
        <v>259.8425197</v>
      </c>
      <c r="X99" s="24">
        <f t="shared" si="11"/>
        <v>161.4173228</v>
      </c>
    </row>
    <row r="100">
      <c r="A100" s="22" t="s">
        <v>103</v>
      </c>
      <c r="B100" s="22" t="s">
        <v>344</v>
      </c>
      <c r="C100" s="23">
        <v>302017.0</v>
      </c>
      <c r="D100" s="22" t="s">
        <v>157</v>
      </c>
      <c r="E100" s="24">
        <f t="shared" si="1"/>
        <v>33</v>
      </c>
      <c r="F100" s="24">
        <f t="shared" si="2"/>
        <v>0</v>
      </c>
      <c r="G100" s="23">
        <f t="shared" si="3"/>
        <v>0.22</v>
      </c>
      <c r="H100" s="24">
        <f>VLOOKUP(A100,'Order Report(X)'!$H$1:$I$125,2,FALSE)</f>
        <v>220</v>
      </c>
      <c r="I100" s="24">
        <f t="shared" si="4"/>
        <v>0.5</v>
      </c>
      <c r="J100" s="24">
        <f t="shared" si="5"/>
        <v>500</v>
      </c>
      <c r="K100" s="25" t="str">
        <f>vlookup(C100,'Pincode Zone (X)'!$G$1:$H$109,2,false)</f>
        <v>b</v>
      </c>
      <c r="L100" s="24">
        <f>ifs(K100="a",'Rates (Courier)'!$A$2,K100="b",'Rates (Courier)'!$C$2,K100="c",'Rates (Courier)'!$E$2,K100="d",'Rates (Courier)'!$G$2,K100="e",'Rates (Courier)'!$I$2)</f>
        <v>33</v>
      </c>
      <c r="M100" s="24">
        <f>ifs(K100="a",'Rates (Courier)'!$B$2,K100="b",'Rates (Courier)'!$D$2,K100="c",'Rates (Courier)'!$F$2,K100="d",'Rates (Courier)'!$H$2,K100="e",'Rates (Courier)'!$J$2)</f>
        <v>28.3</v>
      </c>
      <c r="N100" s="24">
        <f>ifs(K100="a",'Rates (Courier)'!$K$2,K100="b",'Rates (Courier)'!$M$2,K100="c",'Rates (Courier)'!$O$2,K100="d",'Rates (Courier)'!$Q$2,K100="e",'Rates (Courier)'!$S$2)</f>
        <v>20.5</v>
      </c>
      <c r="O100" s="24">
        <f>ifs(K100="a",'Rates (Courier)'!$L$2,K100="b",'Rates (Courier)'!$N$2,K100="c",'Rates (Courier)'!$P$2,K100="d",'Rates (Courier)'!$R$2,K100="e",'Rates (Courier)'!$T$2)</f>
        <v>28.3</v>
      </c>
      <c r="P100" s="26">
        <f t="shared" si="6"/>
        <v>33</v>
      </c>
      <c r="Q100" s="23">
        <f>VLOOKUP(B100,'Invoice (Courier)'!$A$1:$C$125,3,FALSE)</f>
        <v>0.2</v>
      </c>
      <c r="R100" s="27">
        <f t="shared" si="7"/>
        <v>0.5</v>
      </c>
      <c r="S100" s="28" t="str">
        <f>VLOOKUP(B100,'Invoice (Courier)'!$A$1:$F$125,match('Invoice (Courier)'!$F$1,'Invoice (Courier)'!$A$1:$F$1,FALSE),FALSE)</f>
        <v>d</v>
      </c>
      <c r="T100" s="26">
        <f>ROUND((VLOOKUP(B100,'Invoice (Courier)'!$A$1:$H$125,match('Invoice (Courier)'!$H$1,'Invoice (Courier)'!$A$1:$H$1,FALSE),FALSE)),20)</f>
        <v>45.4</v>
      </c>
      <c r="U100" s="26">
        <f t="shared" si="8"/>
        <v>-12.4</v>
      </c>
      <c r="V100" s="24">
        <f t="shared" si="9"/>
        <v>27.31277533</v>
      </c>
      <c r="W100" s="24">
        <f t="shared" si="10"/>
        <v>150</v>
      </c>
      <c r="X100" s="24">
        <f t="shared" si="11"/>
        <v>0</v>
      </c>
    </row>
    <row r="101">
      <c r="A101" s="22" t="s">
        <v>100</v>
      </c>
      <c r="B101" s="22" t="s">
        <v>345</v>
      </c>
      <c r="C101" s="23">
        <v>302017.0</v>
      </c>
      <c r="D101" s="22" t="s">
        <v>157</v>
      </c>
      <c r="E101" s="24">
        <f t="shared" si="1"/>
        <v>61.3</v>
      </c>
      <c r="F101" s="24">
        <f t="shared" si="2"/>
        <v>0</v>
      </c>
      <c r="G101" s="23">
        <f t="shared" si="3"/>
        <v>0.554</v>
      </c>
      <c r="H101" s="24">
        <f>VLOOKUP(A101,'Order Report(X)'!$H$1:$I$125,2,FALSE)</f>
        <v>554</v>
      </c>
      <c r="I101" s="24">
        <f t="shared" si="4"/>
        <v>1</v>
      </c>
      <c r="J101" s="24">
        <f t="shared" si="5"/>
        <v>1000</v>
      </c>
      <c r="K101" s="25" t="str">
        <f>vlookup(C101,'Pincode Zone (X)'!$G$1:$H$109,2,false)</f>
        <v>b</v>
      </c>
      <c r="L101" s="24">
        <f>ifs(K101="a",'Rates (Courier)'!$A$2,K101="b",'Rates (Courier)'!$C$2,K101="c",'Rates (Courier)'!$E$2,K101="d",'Rates (Courier)'!$G$2,K101="e",'Rates (Courier)'!$I$2)</f>
        <v>33</v>
      </c>
      <c r="M101" s="24">
        <f>ifs(K101="a",'Rates (Courier)'!$B$2,K101="b",'Rates (Courier)'!$D$2,K101="c",'Rates (Courier)'!$F$2,K101="d",'Rates (Courier)'!$H$2,K101="e",'Rates (Courier)'!$J$2)</f>
        <v>28.3</v>
      </c>
      <c r="N101" s="24">
        <f>ifs(K101="a",'Rates (Courier)'!$K$2,K101="b",'Rates (Courier)'!$M$2,K101="c",'Rates (Courier)'!$O$2,K101="d",'Rates (Courier)'!$Q$2,K101="e",'Rates (Courier)'!$S$2)</f>
        <v>20.5</v>
      </c>
      <c r="O101" s="24">
        <f>ifs(K101="a",'Rates (Courier)'!$L$2,K101="b",'Rates (Courier)'!$N$2,K101="c",'Rates (Courier)'!$P$2,K101="d",'Rates (Courier)'!$R$2,K101="e",'Rates (Courier)'!$T$2)</f>
        <v>28.3</v>
      </c>
      <c r="P101" s="26">
        <f t="shared" si="6"/>
        <v>61.3</v>
      </c>
      <c r="Q101" s="23">
        <f>VLOOKUP(B101,'Invoice (Courier)'!$A$1:$C$125,3,FALSE)</f>
        <v>0.7</v>
      </c>
      <c r="R101" s="27">
        <f t="shared" si="7"/>
        <v>1</v>
      </c>
      <c r="S101" s="28" t="str">
        <f>VLOOKUP(B101,'Invoice (Courier)'!$A$1:$F$125,match('Invoice (Courier)'!$F$1,'Invoice (Courier)'!$A$1:$F$1,FALSE),FALSE)</f>
        <v>d</v>
      </c>
      <c r="T101" s="26">
        <f>ROUND((VLOOKUP(B101,'Invoice (Courier)'!$A$1:$H$125,match('Invoice (Courier)'!$H$1,'Invoice (Courier)'!$A$1:$H$1,FALSE),FALSE)),20)</f>
        <v>90.2</v>
      </c>
      <c r="U101" s="26">
        <f t="shared" si="8"/>
        <v>-28.9</v>
      </c>
      <c r="V101" s="24">
        <f t="shared" si="9"/>
        <v>32.03991131</v>
      </c>
      <c r="W101" s="24">
        <f t="shared" si="10"/>
        <v>110.6498195</v>
      </c>
      <c r="X101" s="24">
        <f t="shared" si="11"/>
        <v>0</v>
      </c>
    </row>
    <row r="102">
      <c r="A102" s="22" t="s">
        <v>96</v>
      </c>
      <c r="B102" s="22" t="s">
        <v>346</v>
      </c>
      <c r="C102" s="23">
        <v>394210.0</v>
      </c>
      <c r="D102" s="22" t="s">
        <v>253</v>
      </c>
      <c r="E102" s="24">
        <f t="shared" si="1"/>
        <v>90.2</v>
      </c>
      <c r="F102" s="24">
        <f t="shared" si="2"/>
        <v>86.1</v>
      </c>
      <c r="G102" s="23">
        <f t="shared" si="3"/>
        <v>0.92</v>
      </c>
      <c r="H102" s="24">
        <f>VLOOKUP(A102,'Order Report(X)'!$H$1:$I$125,2,FALSE)</f>
        <v>920</v>
      </c>
      <c r="I102" s="24">
        <f t="shared" si="4"/>
        <v>1</v>
      </c>
      <c r="J102" s="24">
        <f t="shared" si="5"/>
        <v>1000</v>
      </c>
      <c r="K102" s="25" t="str">
        <f>vlookup(C102,'Pincode Zone (X)'!$G$1:$H$109,2,false)</f>
        <v>d</v>
      </c>
      <c r="L102" s="24">
        <f>ifs(K102="a",'Rates (Courier)'!$A$2,K102="b",'Rates (Courier)'!$C$2,K102="c",'Rates (Courier)'!$E$2,K102="d",'Rates (Courier)'!$G$2,K102="e",'Rates (Courier)'!$I$2)</f>
        <v>45.4</v>
      </c>
      <c r="M102" s="24">
        <f>ifs(K102="a",'Rates (Courier)'!$B$2,K102="b",'Rates (Courier)'!$D$2,K102="c",'Rates (Courier)'!$F$2,K102="d",'Rates (Courier)'!$H$2,K102="e",'Rates (Courier)'!$J$2)</f>
        <v>44.8</v>
      </c>
      <c r="N102" s="24">
        <f>ifs(K102="a",'Rates (Courier)'!$K$2,K102="b",'Rates (Courier)'!$M$2,K102="c",'Rates (Courier)'!$O$2,K102="d",'Rates (Courier)'!$Q$2,K102="e",'Rates (Courier)'!$S$2)</f>
        <v>41.3</v>
      </c>
      <c r="O102" s="24">
        <f>ifs(K102="a",'Rates (Courier)'!$L$2,K102="b",'Rates (Courier)'!$N$2,K102="c",'Rates (Courier)'!$P$2,K102="d",'Rates (Courier)'!$R$2,K102="e",'Rates (Courier)'!$T$2)</f>
        <v>44.8</v>
      </c>
      <c r="P102" s="26">
        <f t="shared" si="6"/>
        <v>176.3</v>
      </c>
      <c r="Q102" s="23">
        <f>VLOOKUP(B102,'Invoice (Courier)'!$A$1:$C$125,3,FALSE)</f>
        <v>0.99</v>
      </c>
      <c r="R102" s="27">
        <f t="shared" si="7"/>
        <v>1</v>
      </c>
      <c r="S102" s="28" t="str">
        <f>VLOOKUP(B102,'Invoice (Courier)'!$A$1:$F$125,match('Invoice (Courier)'!$F$1,'Invoice (Courier)'!$A$1:$F$1,FALSE),FALSE)</f>
        <v>d</v>
      </c>
      <c r="T102" s="26">
        <f>ROUND((VLOOKUP(B102,'Invoice (Courier)'!$A$1:$H$125,match('Invoice (Courier)'!$H$1,'Invoice (Courier)'!$A$1:$H$1,FALSE),FALSE)),20)</f>
        <v>172.8</v>
      </c>
      <c r="U102" s="26">
        <f t="shared" si="8"/>
        <v>3.5</v>
      </c>
      <c r="V102" s="24">
        <f t="shared" si="9"/>
        <v>-2.025462963</v>
      </c>
      <c r="W102" s="24">
        <f t="shared" si="10"/>
        <v>98.04347826</v>
      </c>
      <c r="X102" s="24">
        <f t="shared" si="11"/>
        <v>93.58695652</v>
      </c>
    </row>
    <row r="103">
      <c r="A103" s="22" t="s">
        <v>92</v>
      </c>
      <c r="B103" s="22" t="s">
        <v>348</v>
      </c>
      <c r="C103" s="23">
        <v>335512.0</v>
      </c>
      <c r="D103" s="22" t="s">
        <v>157</v>
      </c>
      <c r="E103" s="24">
        <f t="shared" si="1"/>
        <v>33</v>
      </c>
      <c r="F103" s="24">
        <f t="shared" si="2"/>
        <v>0</v>
      </c>
      <c r="G103" s="23">
        <f t="shared" si="3"/>
        <v>0.5</v>
      </c>
      <c r="H103" s="24">
        <f>VLOOKUP(A103,'Order Report(X)'!$H$1:$I$125,2,FALSE)</f>
        <v>500</v>
      </c>
      <c r="I103" s="24">
        <f t="shared" si="4"/>
        <v>0.5</v>
      </c>
      <c r="J103" s="24">
        <f t="shared" si="5"/>
        <v>500</v>
      </c>
      <c r="K103" s="25" t="str">
        <f>vlookup(C103,'Pincode Zone (X)'!$G$1:$H$109,2,false)</f>
        <v>b</v>
      </c>
      <c r="L103" s="24">
        <f>ifs(K103="a",'Rates (Courier)'!$A$2,K103="b",'Rates (Courier)'!$C$2,K103="c",'Rates (Courier)'!$E$2,K103="d",'Rates (Courier)'!$G$2,K103="e",'Rates (Courier)'!$I$2)</f>
        <v>33</v>
      </c>
      <c r="M103" s="24">
        <f>ifs(K103="a",'Rates (Courier)'!$B$2,K103="b",'Rates (Courier)'!$D$2,K103="c",'Rates (Courier)'!$F$2,K103="d",'Rates (Courier)'!$H$2,K103="e",'Rates (Courier)'!$J$2)</f>
        <v>28.3</v>
      </c>
      <c r="N103" s="24">
        <f>ifs(K103="a",'Rates (Courier)'!$K$2,K103="b",'Rates (Courier)'!$M$2,K103="c",'Rates (Courier)'!$O$2,K103="d",'Rates (Courier)'!$Q$2,K103="e",'Rates (Courier)'!$S$2)</f>
        <v>20.5</v>
      </c>
      <c r="O103" s="24">
        <f>ifs(K103="a",'Rates (Courier)'!$L$2,K103="b",'Rates (Courier)'!$N$2,K103="c",'Rates (Courier)'!$P$2,K103="d",'Rates (Courier)'!$R$2,K103="e",'Rates (Courier)'!$T$2)</f>
        <v>28.3</v>
      </c>
      <c r="P103" s="26">
        <f t="shared" si="6"/>
        <v>33</v>
      </c>
      <c r="Q103" s="23">
        <f>VLOOKUP(B103,'Invoice (Courier)'!$A$1:$C$125,3,FALSE)</f>
        <v>0.5</v>
      </c>
      <c r="R103" s="27">
        <f t="shared" si="7"/>
        <v>0.5</v>
      </c>
      <c r="S103" s="28" t="str">
        <f>VLOOKUP(B103,'Invoice (Courier)'!$A$1:$F$125,match('Invoice (Courier)'!$F$1,'Invoice (Courier)'!$A$1:$F$1,FALSE),FALSE)</f>
        <v>d</v>
      </c>
      <c r="T103" s="26">
        <f>ROUND((VLOOKUP(B103,'Invoice (Courier)'!$A$1:$H$125,match('Invoice (Courier)'!$H$1,'Invoice (Courier)'!$A$1:$H$1,FALSE),FALSE)),20)</f>
        <v>45.4</v>
      </c>
      <c r="U103" s="26">
        <f t="shared" si="8"/>
        <v>-12.4</v>
      </c>
      <c r="V103" s="24">
        <f t="shared" si="9"/>
        <v>27.31277533</v>
      </c>
      <c r="W103" s="24">
        <f t="shared" si="10"/>
        <v>66</v>
      </c>
      <c r="X103" s="24">
        <f t="shared" si="11"/>
        <v>0</v>
      </c>
    </row>
    <row r="104">
      <c r="A104" s="22" t="s">
        <v>80</v>
      </c>
      <c r="B104" s="22" t="s">
        <v>350</v>
      </c>
      <c r="C104" s="23">
        <v>411014.0</v>
      </c>
      <c r="D104" s="22" t="s">
        <v>253</v>
      </c>
      <c r="E104" s="24">
        <f t="shared" si="1"/>
        <v>90.2</v>
      </c>
      <c r="F104" s="24">
        <f t="shared" si="2"/>
        <v>86.1</v>
      </c>
      <c r="G104" s="23">
        <f t="shared" si="3"/>
        <v>0.7</v>
      </c>
      <c r="H104" s="24">
        <f>VLOOKUP(A104,'Order Report(X)'!$H$1:$I$125,2,FALSE)</f>
        <v>700</v>
      </c>
      <c r="I104" s="24">
        <f t="shared" si="4"/>
        <v>1</v>
      </c>
      <c r="J104" s="24">
        <f t="shared" si="5"/>
        <v>1000</v>
      </c>
      <c r="K104" s="25" t="str">
        <f>vlookup(C104,'Pincode Zone (X)'!$G$1:$H$109,2,false)</f>
        <v>d</v>
      </c>
      <c r="L104" s="24">
        <f>ifs(K104="a",'Rates (Courier)'!$A$2,K104="b",'Rates (Courier)'!$C$2,K104="c",'Rates (Courier)'!$E$2,K104="d",'Rates (Courier)'!$G$2,K104="e",'Rates (Courier)'!$I$2)</f>
        <v>45.4</v>
      </c>
      <c r="M104" s="24">
        <f>ifs(K104="a",'Rates (Courier)'!$B$2,K104="b",'Rates (Courier)'!$D$2,K104="c",'Rates (Courier)'!$F$2,K104="d",'Rates (Courier)'!$H$2,K104="e",'Rates (Courier)'!$J$2)</f>
        <v>44.8</v>
      </c>
      <c r="N104" s="24">
        <f>ifs(K104="a",'Rates (Courier)'!$K$2,K104="b",'Rates (Courier)'!$M$2,K104="c",'Rates (Courier)'!$O$2,K104="d",'Rates (Courier)'!$Q$2,K104="e",'Rates (Courier)'!$S$2)</f>
        <v>41.3</v>
      </c>
      <c r="O104" s="24">
        <f>ifs(K104="a",'Rates (Courier)'!$L$2,K104="b",'Rates (Courier)'!$N$2,K104="c",'Rates (Courier)'!$P$2,K104="d",'Rates (Courier)'!$R$2,K104="e",'Rates (Courier)'!$T$2)</f>
        <v>44.8</v>
      </c>
      <c r="P104" s="26">
        <f t="shared" si="6"/>
        <v>176.3</v>
      </c>
      <c r="Q104" s="23">
        <f>VLOOKUP(B104,'Invoice (Courier)'!$A$1:$C$125,3,FALSE)</f>
        <v>0.7</v>
      </c>
      <c r="R104" s="27">
        <f t="shared" si="7"/>
        <v>1</v>
      </c>
      <c r="S104" s="28" t="str">
        <f>VLOOKUP(B104,'Invoice (Courier)'!$A$1:$F$125,match('Invoice (Courier)'!$F$1,'Invoice (Courier)'!$A$1:$F$1,FALSE),FALSE)</f>
        <v>d</v>
      </c>
      <c r="T104" s="26">
        <f>ROUND((VLOOKUP(B104,'Invoice (Courier)'!$A$1:$H$125,match('Invoice (Courier)'!$H$1,'Invoice (Courier)'!$A$1:$H$1,FALSE),FALSE)),20)</f>
        <v>172.8</v>
      </c>
      <c r="U104" s="26">
        <f t="shared" si="8"/>
        <v>3.5</v>
      </c>
      <c r="V104" s="24">
        <f t="shared" si="9"/>
        <v>-2.025462963</v>
      </c>
      <c r="W104" s="24">
        <f t="shared" si="10"/>
        <v>128.8571429</v>
      </c>
      <c r="X104" s="24">
        <f t="shared" si="11"/>
        <v>123</v>
      </c>
    </row>
    <row r="105">
      <c r="A105" s="22" t="s">
        <v>76</v>
      </c>
      <c r="B105" s="22" t="s">
        <v>352</v>
      </c>
      <c r="C105" s="23">
        <v>783301.0</v>
      </c>
      <c r="D105" s="22" t="s">
        <v>253</v>
      </c>
      <c r="E105" s="24">
        <f t="shared" si="1"/>
        <v>112.1</v>
      </c>
      <c r="F105" s="24">
        <f t="shared" si="2"/>
        <v>106.2</v>
      </c>
      <c r="G105" s="23">
        <f t="shared" si="3"/>
        <v>0.841</v>
      </c>
      <c r="H105" s="24">
        <f>VLOOKUP(A105,'Order Report(X)'!$H$1:$I$125,2,FALSE)</f>
        <v>841</v>
      </c>
      <c r="I105" s="24">
        <f t="shared" si="4"/>
        <v>1</v>
      </c>
      <c r="J105" s="24">
        <f t="shared" si="5"/>
        <v>1000</v>
      </c>
      <c r="K105" s="25" t="str">
        <f>vlookup(C105,'Pincode Zone (X)'!$G$1:$H$109,2,false)</f>
        <v>e</v>
      </c>
      <c r="L105" s="24">
        <f>ifs(K105="a",'Rates (Courier)'!$A$2,K105="b",'Rates (Courier)'!$C$2,K105="c",'Rates (Courier)'!$E$2,K105="d",'Rates (Courier)'!$G$2,K105="e",'Rates (Courier)'!$I$2)</f>
        <v>56.6</v>
      </c>
      <c r="M105" s="24">
        <f>ifs(K105="a",'Rates (Courier)'!$B$2,K105="b",'Rates (Courier)'!$D$2,K105="c",'Rates (Courier)'!$F$2,K105="d",'Rates (Courier)'!$H$2,K105="e",'Rates (Courier)'!$J$2)</f>
        <v>55.5</v>
      </c>
      <c r="N105" s="24">
        <f>ifs(K105="a",'Rates (Courier)'!$K$2,K105="b",'Rates (Courier)'!$M$2,K105="c",'Rates (Courier)'!$O$2,K105="d",'Rates (Courier)'!$Q$2,K105="e",'Rates (Courier)'!$S$2)</f>
        <v>50.7</v>
      </c>
      <c r="O105" s="24">
        <f>ifs(K105="a",'Rates (Courier)'!$L$2,K105="b",'Rates (Courier)'!$N$2,K105="c",'Rates (Courier)'!$P$2,K105="d",'Rates (Courier)'!$R$2,K105="e",'Rates (Courier)'!$T$2)</f>
        <v>55.5</v>
      </c>
      <c r="P105" s="26">
        <f t="shared" si="6"/>
        <v>218.3</v>
      </c>
      <c r="Q105" s="23">
        <f>VLOOKUP(B105,'Invoice (Courier)'!$A$1:$C$125,3,FALSE)</f>
        <v>0.8</v>
      </c>
      <c r="R105" s="27">
        <f t="shared" si="7"/>
        <v>1</v>
      </c>
      <c r="S105" s="28" t="str">
        <f>VLOOKUP(B105,'Invoice (Courier)'!$A$1:$F$125,match('Invoice (Courier)'!$F$1,'Invoice (Courier)'!$A$1:$F$1,FALSE),FALSE)</f>
        <v>e</v>
      </c>
      <c r="T105" s="26">
        <f>ROUND((VLOOKUP(B105,'Invoice (Courier)'!$A$1:$H$125,match('Invoice (Courier)'!$H$1,'Invoice (Courier)'!$A$1:$H$1,FALSE),FALSE)),20)</f>
        <v>213.5</v>
      </c>
      <c r="U105" s="26">
        <f t="shared" si="8"/>
        <v>4.8</v>
      </c>
      <c r="V105" s="24">
        <f t="shared" si="9"/>
        <v>-2.24824356</v>
      </c>
      <c r="W105" s="24">
        <f t="shared" si="10"/>
        <v>133.293698</v>
      </c>
      <c r="X105" s="24">
        <f t="shared" si="11"/>
        <v>126.2782402</v>
      </c>
    </row>
    <row r="106">
      <c r="A106" s="22" t="s">
        <v>72</v>
      </c>
      <c r="B106" s="22" t="s">
        <v>354</v>
      </c>
      <c r="C106" s="23">
        <v>174101.0</v>
      </c>
      <c r="D106" s="22" t="s">
        <v>157</v>
      </c>
      <c r="E106" s="24">
        <f t="shared" si="1"/>
        <v>56.6</v>
      </c>
      <c r="F106" s="24">
        <f t="shared" si="2"/>
        <v>0</v>
      </c>
      <c r="G106" s="23">
        <f t="shared" si="3"/>
        <v>0.27</v>
      </c>
      <c r="H106" s="24">
        <f>VLOOKUP(A106,'Order Report(X)'!$H$1:$I$125,2,FALSE)</f>
        <v>270</v>
      </c>
      <c r="I106" s="24">
        <f t="shared" si="4"/>
        <v>0.5</v>
      </c>
      <c r="J106" s="24">
        <f t="shared" si="5"/>
        <v>500</v>
      </c>
      <c r="K106" s="25" t="str">
        <f>vlookup(C106,'Pincode Zone (X)'!$G$1:$H$109,2,false)</f>
        <v>e</v>
      </c>
      <c r="L106" s="24">
        <f>ifs(K106="a",'Rates (Courier)'!$A$2,K106="b",'Rates (Courier)'!$C$2,K106="c",'Rates (Courier)'!$E$2,K106="d",'Rates (Courier)'!$G$2,K106="e",'Rates (Courier)'!$I$2)</f>
        <v>56.6</v>
      </c>
      <c r="M106" s="24">
        <f>ifs(K106="a",'Rates (Courier)'!$B$2,K106="b",'Rates (Courier)'!$D$2,K106="c",'Rates (Courier)'!$F$2,K106="d",'Rates (Courier)'!$H$2,K106="e",'Rates (Courier)'!$J$2)</f>
        <v>55.5</v>
      </c>
      <c r="N106" s="24">
        <f>ifs(K106="a",'Rates (Courier)'!$K$2,K106="b",'Rates (Courier)'!$M$2,K106="c",'Rates (Courier)'!$O$2,K106="d",'Rates (Courier)'!$Q$2,K106="e",'Rates (Courier)'!$S$2)</f>
        <v>50.7</v>
      </c>
      <c r="O106" s="24">
        <f>ifs(K106="a",'Rates (Courier)'!$L$2,K106="b",'Rates (Courier)'!$N$2,K106="c",'Rates (Courier)'!$P$2,K106="d",'Rates (Courier)'!$R$2,K106="e",'Rates (Courier)'!$T$2)</f>
        <v>55.5</v>
      </c>
      <c r="P106" s="26">
        <f t="shared" si="6"/>
        <v>56.6</v>
      </c>
      <c r="Q106" s="23">
        <f>VLOOKUP(B106,'Invoice (Courier)'!$A$1:$C$125,3,FALSE)</f>
        <v>0.3</v>
      </c>
      <c r="R106" s="27">
        <f t="shared" si="7"/>
        <v>0.5</v>
      </c>
      <c r="S106" s="28" t="str">
        <f>VLOOKUP(B106,'Invoice (Courier)'!$A$1:$F$125,match('Invoice (Courier)'!$F$1,'Invoice (Courier)'!$A$1:$F$1,FALSE),FALSE)</f>
        <v>b</v>
      </c>
      <c r="T106" s="26">
        <f>ROUND((VLOOKUP(B106,'Invoice (Courier)'!$A$1:$H$125,match('Invoice (Courier)'!$H$1,'Invoice (Courier)'!$A$1:$H$1,FALSE),FALSE)),20)</f>
        <v>33</v>
      </c>
      <c r="U106" s="26">
        <f t="shared" si="8"/>
        <v>23.6</v>
      </c>
      <c r="V106" s="24">
        <f t="shared" si="9"/>
        <v>-71.51515152</v>
      </c>
      <c r="W106" s="24">
        <f t="shared" si="10"/>
        <v>209.6296296</v>
      </c>
      <c r="X106" s="24">
        <f t="shared" si="11"/>
        <v>0</v>
      </c>
    </row>
    <row r="107">
      <c r="A107" s="22" t="s">
        <v>67</v>
      </c>
      <c r="B107" s="22" t="s">
        <v>356</v>
      </c>
      <c r="C107" s="23">
        <v>313301.0</v>
      </c>
      <c r="D107" s="22" t="s">
        <v>157</v>
      </c>
      <c r="E107" s="24">
        <f t="shared" si="1"/>
        <v>61.3</v>
      </c>
      <c r="F107" s="24">
        <f t="shared" si="2"/>
        <v>0</v>
      </c>
      <c r="G107" s="23">
        <f t="shared" si="3"/>
        <v>0.515</v>
      </c>
      <c r="H107" s="24">
        <f>VLOOKUP(A107,'Order Report(X)'!$H$1:$I$125,2,FALSE)</f>
        <v>515</v>
      </c>
      <c r="I107" s="24">
        <f t="shared" si="4"/>
        <v>1</v>
      </c>
      <c r="J107" s="24">
        <f t="shared" si="5"/>
        <v>1000</v>
      </c>
      <c r="K107" s="25" t="str">
        <f>vlookup(C107,'Pincode Zone (X)'!$G$1:$H$109,2,false)</f>
        <v>b</v>
      </c>
      <c r="L107" s="24">
        <f>ifs(K107="a",'Rates (Courier)'!$A$2,K107="b",'Rates (Courier)'!$C$2,K107="c",'Rates (Courier)'!$E$2,K107="d",'Rates (Courier)'!$G$2,K107="e",'Rates (Courier)'!$I$2)</f>
        <v>33</v>
      </c>
      <c r="M107" s="24">
        <f>ifs(K107="a",'Rates (Courier)'!$B$2,K107="b",'Rates (Courier)'!$D$2,K107="c",'Rates (Courier)'!$F$2,K107="d",'Rates (Courier)'!$H$2,K107="e",'Rates (Courier)'!$J$2)</f>
        <v>28.3</v>
      </c>
      <c r="N107" s="24">
        <f>ifs(K107="a",'Rates (Courier)'!$K$2,K107="b",'Rates (Courier)'!$M$2,K107="c",'Rates (Courier)'!$O$2,K107="d",'Rates (Courier)'!$Q$2,K107="e",'Rates (Courier)'!$S$2)</f>
        <v>20.5</v>
      </c>
      <c r="O107" s="24">
        <f>ifs(K107="a",'Rates (Courier)'!$L$2,K107="b",'Rates (Courier)'!$N$2,K107="c",'Rates (Courier)'!$P$2,K107="d",'Rates (Courier)'!$R$2,K107="e",'Rates (Courier)'!$T$2)</f>
        <v>28.3</v>
      </c>
      <c r="P107" s="26">
        <f t="shared" si="6"/>
        <v>61.3</v>
      </c>
      <c r="Q107" s="23">
        <f>VLOOKUP(B107,'Invoice (Courier)'!$A$1:$C$125,3,FALSE)</f>
        <v>0.5</v>
      </c>
      <c r="R107" s="27">
        <f t="shared" si="7"/>
        <v>0.5</v>
      </c>
      <c r="S107" s="28" t="str">
        <f>VLOOKUP(B107,'Invoice (Courier)'!$A$1:$F$125,match('Invoice (Courier)'!$F$1,'Invoice (Courier)'!$A$1:$F$1,FALSE),FALSE)</f>
        <v>d</v>
      </c>
      <c r="T107" s="26">
        <f>ROUND((VLOOKUP(B107,'Invoice (Courier)'!$A$1:$H$125,match('Invoice (Courier)'!$H$1,'Invoice (Courier)'!$A$1:$H$1,FALSE),FALSE)),20)</f>
        <v>45.4</v>
      </c>
      <c r="U107" s="26">
        <f t="shared" si="8"/>
        <v>15.9</v>
      </c>
      <c r="V107" s="24">
        <f t="shared" si="9"/>
        <v>-35.02202643</v>
      </c>
      <c r="W107" s="24">
        <f t="shared" si="10"/>
        <v>119.0291262</v>
      </c>
      <c r="X107" s="24">
        <f t="shared" si="11"/>
        <v>0</v>
      </c>
    </row>
    <row r="108">
      <c r="A108" s="22" t="s">
        <v>55</v>
      </c>
      <c r="B108" s="22" t="s">
        <v>358</v>
      </c>
      <c r="C108" s="23">
        <v>486661.0</v>
      </c>
      <c r="D108" s="22" t="s">
        <v>253</v>
      </c>
      <c r="E108" s="24">
        <f t="shared" si="1"/>
        <v>135</v>
      </c>
      <c r="F108" s="24">
        <f t="shared" si="2"/>
        <v>130.9</v>
      </c>
      <c r="G108" s="23">
        <f t="shared" si="3"/>
        <v>1.2</v>
      </c>
      <c r="H108" s="24">
        <f>VLOOKUP(A108,'Order Report(X)'!$H$1:$I$125,2,FALSE)</f>
        <v>1200</v>
      </c>
      <c r="I108" s="24">
        <f t="shared" si="4"/>
        <v>1.5</v>
      </c>
      <c r="J108" s="24">
        <f t="shared" si="5"/>
        <v>1500</v>
      </c>
      <c r="K108" s="25" t="str">
        <f>vlookup(C108,'Pincode Zone (X)'!$G$1:$H$109,2,false)</f>
        <v>d</v>
      </c>
      <c r="L108" s="24">
        <f>ifs(K108="a",'Rates (Courier)'!$A$2,K108="b",'Rates (Courier)'!$C$2,K108="c",'Rates (Courier)'!$E$2,K108="d",'Rates (Courier)'!$G$2,K108="e",'Rates (Courier)'!$I$2)</f>
        <v>45.4</v>
      </c>
      <c r="M108" s="24">
        <f>ifs(K108="a",'Rates (Courier)'!$B$2,K108="b",'Rates (Courier)'!$D$2,K108="c",'Rates (Courier)'!$F$2,K108="d",'Rates (Courier)'!$H$2,K108="e",'Rates (Courier)'!$J$2)</f>
        <v>44.8</v>
      </c>
      <c r="N108" s="24">
        <f>ifs(K108="a",'Rates (Courier)'!$K$2,K108="b",'Rates (Courier)'!$M$2,K108="c",'Rates (Courier)'!$O$2,K108="d",'Rates (Courier)'!$Q$2,K108="e",'Rates (Courier)'!$S$2)</f>
        <v>41.3</v>
      </c>
      <c r="O108" s="24">
        <f>ifs(K108="a",'Rates (Courier)'!$L$2,K108="b",'Rates (Courier)'!$N$2,K108="c",'Rates (Courier)'!$P$2,K108="d",'Rates (Courier)'!$R$2,K108="e",'Rates (Courier)'!$T$2)</f>
        <v>44.8</v>
      </c>
      <c r="P108" s="26">
        <f t="shared" si="6"/>
        <v>265.9</v>
      </c>
      <c r="Q108" s="23">
        <f>VLOOKUP(B108,'Invoice (Courier)'!$A$1:$C$125,3,FALSE)</f>
        <v>1.2</v>
      </c>
      <c r="R108" s="27">
        <f t="shared" si="7"/>
        <v>1.5</v>
      </c>
      <c r="S108" s="28" t="str">
        <f>VLOOKUP(B108,'Invoice (Courier)'!$A$1:$F$125,match('Invoice (Courier)'!$F$1,'Invoice (Courier)'!$A$1:$F$1,FALSE),FALSE)</f>
        <v>d</v>
      </c>
      <c r="T108" s="26">
        <f>ROUND((VLOOKUP(B108,'Invoice (Courier)'!$A$1:$H$125,match('Invoice (Courier)'!$H$1,'Invoice (Courier)'!$A$1:$H$1,FALSE),FALSE)),20)</f>
        <v>258.9</v>
      </c>
      <c r="U108" s="26">
        <f t="shared" si="8"/>
        <v>7</v>
      </c>
      <c r="V108" s="24">
        <f t="shared" si="9"/>
        <v>-2.70374662</v>
      </c>
      <c r="W108" s="24">
        <f t="shared" si="10"/>
        <v>112.5</v>
      </c>
      <c r="X108" s="24">
        <f t="shared" si="11"/>
        <v>109.0833333</v>
      </c>
    </row>
    <row r="109">
      <c r="A109" s="22" t="s">
        <v>58</v>
      </c>
      <c r="B109" s="22" t="s">
        <v>360</v>
      </c>
      <c r="C109" s="23">
        <v>313001.0</v>
      </c>
      <c r="D109" s="22" t="s">
        <v>157</v>
      </c>
      <c r="E109" s="24">
        <f t="shared" si="1"/>
        <v>146.2</v>
      </c>
      <c r="F109" s="24">
        <f t="shared" si="2"/>
        <v>0</v>
      </c>
      <c r="G109" s="23">
        <f t="shared" si="3"/>
        <v>2.098</v>
      </c>
      <c r="H109" s="24">
        <f>VLOOKUP(A109,'Order Report(X)'!$H$1:$I$125,2,FALSE)</f>
        <v>2098</v>
      </c>
      <c r="I109" s="24">
        <f t="shared" si="4"/>
        <v>2.5</v>
      </c>
      <c r="J109" s="24">
        <f t="shared" si="5"/>
        <v>2500</v>
      </c>
      <c r="K109" s="25" t="str">
        <f>vlookup(C109,'Pincode Zone (X)'!$G$1:$H$109,2,false)</f>
        <v>b</v>
      </c>
      <c r="L109" s="24">
        <f>ifs(K109="a",'Rates (Courier)'!$A$2,K109="b",'Rates (Courier)'!$C$2,K109="c",'Rates (Courier)'!$E$2,K109="d",'Rates (Courier)'!$G$2,K109="e",'Rates (Courier)'!$I$2)</f>
        <v>33</v>
      </c>
      <c r="M109" s="24">
        <f>ifs(K109="a",'Rates (Courier)'!$B$2,K109="b",'Rates (Courier)'!$D$2,K109="c",'Rates (Courier)'!$F$2,K109="d",'Rates (Courier)'!$H$2,K109="e",'Rates (Courier)'!$J$2)</f>
        <v>28.3</v>
      </c>
      <c r="N109" s="24">
        <f>ifs(K109="a",'Rates (Courier)'!$K$2,K109="b",'Rates (Courier)'!$M$2,K109="c",'Rates (Courier)'!$O$2,K109="d",'Rates (Courier)'!$Q$2,K109="e",'Rates (Courier)'!$S$2)</f>
        <v>20.5</v>
      </c>
      <c r="O109" s="24">
        <f>ifs(K109="a",'Rates (Courier)'!$L$2,K109="b",'Rates (Courier)'!$N$2,K109="c",'Rates (Courier)'!$P$2,K109="d",'Rates (Courier)'!$R$2,K109="e",'Rates (Courier)'!$T$2)</f>
        <v>28.3</v>
      </c>
      <c r="P109" s="26">
        <f t="shared" si="6"/>
        <v>146.2</v>
      </c>
      <c r="Q109" s="23">
        <f>VLOOKUP(B109,'Invoice (Courier)'!$A$1:$C$125,3,FALSE)</f>
        <v>2.1</v>
      </c>
      <c r="R109" s="27">
        <f t="shared" si="7"/>
        <v>2.5</v>
      </c>
      <c r="S109" s="28" t="str">
        <f>VLOOKUP(B109,'Invoice (Courier)'!$A$1:$F$125,match('Invoice (Courier)'!$F$1,'Invoice (Courier)'!$A$1:$F$1,FALSE),FALSE)</f>
        <v>d</v>
      </c>
      <c r="T109" s="26">
        <f>ROUND((VLOOKUP(B109,'Invoice (Courier)'!$A$1:$H$125,match('Invoice (Courier)'!$H$1,'Invoice (Courier)'!$A$1:$H$1,FALSE),FALSE)),20)</f>
        <v>224.6</v>
      </c>
      <c r="U109" s="26">
        <f t="shared" si="8"/>
        <v>-78.4</v>
      </c>
      <c r="V109" s="24">
        <f t="shared" si="9"/>
        <v>34.90650045</v>
      </c>
      <c r="W109" s="24">
        <f t="shared" si="10"/>
        <v>69.68541468</v>
      </c>
      <c r="X109" s="24">
        <f t="shared" si="11"/>
        <v>0</v>
      </c>
    </row>
    <row r="110">
      <c r="A110" s="22" t="s">
        <v>52</v>
      </c>
      <c r="B110" s="22" t="s">
        <v>361</v>
      </c>
      <c r="C110" s="23">
        <v>313001.0</v>
      </c>
      <c r="D110" s="22" t="s">
        <v>157</v>
      </c>
      <c r="E110" s="24">
        <f t="shared" si="1"/>
        <v>33</v>
      </c>
      <c r="F110" s="24">
        <f t="shared" si="2"/>
        <v>0</v>
      </c>
      <c r="G110" s="23">
        <f t="shared" si="3"/>
        <v>0.177</v>
      </c>
      <c r="H110" s="24">
        <f>VLOOKUP(A110,'Order Report(X)'!$H$1:$I$125,2,FALSE)</f>
        <v>177</v>
      </c>
      <c r="I110" s="24">
        <f t="shared" si="4"/>
        <v>0.5</v>
      </c>
      <c r="J110" s="24">
        <f t="shared" si="5"/>
        <v>500</v>
      </c>
      <c r="K110" s="25" t="str">
        <f>vlookup(C110,'Pincode Zone (X)'!$G$1:$H$109,2,false)</f>
        <v>b</v>
      </c>
      <c r="L110" s="24">
        <f>ifs(K110="a",'Rates (Courier)'!$A$2,K110="b",'Rates (Courier)'!$C$2,K110="c",'Rates (Courier)'!$E$2,K110="d",'Rates (Courier)'!$G$2,K110="e",'Rates (Courier)'!$I$2)</f>
        <v>33</v>
      </c>
      <c r="M110" s="24">
        <f>ifs(K110="a",'Rates (Courier)'!$B$2,K110="b",'Rates (Courier)'!$D$2,K110="c",'Rates (Courier)'!$F$2,K110="d",'Rates (Courier)'!$H$2,K110="e",'Rates (Courier)'!$J$2)</f>
        <v>28.3</v>
      </c>
      <c r="N110" s="24">
        <f>ifs(K110="a",'Rates (Courier)'!$K$2,K110="b",'Rates (Courier)'!$M$2,K110="c",'Rates (Courier)'!$O$2,K110="d",'Rates (Courier)'!$Q$2,K110="e",'Rates (Courier)'!$S$2)</f>
        <v>20.5</v>
      </c>
      <c r="O110" s="24">
        <f>ifs(K110="a",'Rates (Courier)'!$L$2,K110="b",'Rates (Courier)'!$N$2,K110="c",'Rates (Courier)'!$P$2,K110="d",'Rates (Courier)'!$R$2,K110="e",'Rates (Courier)'!$T$2)</f>
        <v>28.3</v>
      </c>
      <c r="P110" s="26">
        <f t="shared" si="6"/>
        <v>33</v>
      </c>
      <c r="Q110" s="23">
        <f>VLOOKUP(B110,'Invoice (Courier)'!$A$1:$C$125,3,FALSE)</f>
        <v>0.2</v>
      </c>
      <c r="R110" s="27">
        <f t="shared" si="7"/>
        <v>0.5</v>
      </c>
      <c r="S110" s="28" t="str">
        <f>VLOOKUP(B110,'Invoice (Courier)'!$A$1:$F$125,match('Invoice (Courier)'!$F$1,'Invoice (Courier)'!$A$1:$F$1,FALSE),FALSE)</f>
        <v>d</v>
      </c>
      <c r="T110" s="26">
        <f>ROUND((VLOOKUP(B110,'Invoice (Courier)'!$A$1:$H$125,match('Invoice (Courier)'!$H$1,'Invoice (Courier)'!$A$1:$H$1,FALSE),FALSE)),20)</f>
        <v>45.4</v>
      </c>
      <c r="U110" s="26">
        <f t="shared" si="8"/>
        <v>-12.4</v>
      </c>
      <c r="V110" s="24">
        <f t="shared" si="9"/>
        <v>27.31277533</v>
      </c>
      <c r="W110" s="24">
        <f t="shared" si="10"/>
        <v>186.440678</v>
      </c>
      <c r="X110" s="24">
        <f t="shared" si="11"/>
        <v>0</v>
      </c>
    </row>
    <row r="111">
      <c r="A111" s="22" t="s">
        <v>46</v>
      </c>
      <c r="B111" s="22" t="s">
        <v>362</v>
      </c>
      <c r="C111" s="23">
        <v>307026.0</v>
      </c>
      <c r="D111" s="22" t="s">
        <v>157</v>
      </c>
      <c r="E111" s="24">
        <f t="shared" si="1"/>
        <v>33</v>
      </c>
      <c r="F111" s="24">
        <f t="shared" si="2"/>
        <v>0</v>
      </c>
      <c r="G111" s="23">
        <f t="shared" si="3"/>
        <v>0.165</v>
      </c>
      <c r="H111" s="24">
        <f>VLOOKUP(A111,'Order Report(X)'!$H$1:$I$125,2,FALSE)</f>
        <v>165</v>
      </c>
      <c r="I111" s="24">
        <f t="shared" si="4"/>
        <v>0.5</v>
      </c>
      <c r="J111" s="24">
        <f t="shared" si="5"/>
        <v>500</v>
      </c>
      <c r="K111" s="25" t="str">
        <f>vlookup(C111,'Pincode Zone (X)'!$G$1:$H$109,2,false)</f>
        <v>b</v>
      </c>
      <c r="L111" s="24">
        <f>ifs(K111="a",'Rates (Courier)'!$A$2,K111="b",'Rates (Courier)'!$C$2,K111="c",'Rates (Courier)'!$E$2,K111="d",'Rates (Courier)'!$G$2,K111="e",'Rates (Courier)'!$I$2)</f>
        <v>33</v>
      </c>
      <c r="M111" s="24">
        <f>ifs(K111="a",'Rates (Courier)'!$B$2,K111="b",'Rates (Courier)'!$D$2,K111="c",'Rates (Courier)'!$F$2,K111="d",'Rates (Courier)'!$H$2,K111="e",'Rates (Courier)'!$J$2)</f>
        <v>28.3</v>
      </c>
      <c r="N111" s="24">
        <f>ifs(K111="a",'Rates (Courier)'!$K$2,K111="b",'Rates (Courier)'!$M$2,K111="c",'Rates (Courier)'!$O$2,K111="d",'Rates (Courier)'!$Q$2,K111="e",'Rates (Courier)'!$S$2)</f>
        <v>20.5</v>
      </c>
      <c r="O111" s="24">
        <f>ifs(K111="a",'Rates (Courier)'!$L$2,K111="b",'Rates (Courier)'!$N$2,K111="c",'Rates (Courier)'!$P$2,K111="d",'Rates (Courier)'!$R$2,K111="e",'Rates (Courier)'!$T$2)</f>
        <v>28.3</v>
      </c>
      <c r="P111" s="26">
        <f t="shared" si="6"/>
        <v>33</v>
      </c>
      <c r="Q111" s="23">
        <f>VLOOKUP(B111,'Invoice (Courier)'!$A$1:$C$125,3,FALSE)</f>
        <v>0.2</v>
      </c>
      <c r="R111" s="27">
        <f t="shared" si="7"/>
        <v>0.5</v>
      </c>
      <c r="S111" s="28" t="str">
        <f>VLOOKUP(B111,'Invoice (Courier)'!$A$1:$F$125,match('Invoice (Courier)'!$F$1,'Invoice (Courier)'!$A$1:$F$1,FALSE),FALSE)</f>
        <v>d</v>
      </c>
      <c r="T111" s="26">
        <f>ROUND((VLOOKUP(B111,'Invoice (Courier)'!$A$1:$H$125,match('Invoice (Courier)'!$H$1,'Invoice (Courier)'!$A$1:$H$1,FALSE),FALSE)),20)</f>
        <v>45.4</v>
      </c>
      <c r="U111" s="26">
        <f t="shared" si="8"/>
        <v>-12.4</v>
      </c>
      <c r="V111" s="24">
        <f t="shared" si="9"/>
        <v>27.31277533</v>
      </c>
      <c r="W111" s="24">
        <f t="shared" si="10"/>
        <v>200</v>
      </c>
      <c r="X111" s="24">
        <f t="shared" si="11"/>
        <v>0</v>
      </c>
    </row>
    <row r="112">
      <c r="A112" s="22" t="s">
        <v>44</v>
      </c>
      <c r="B112" s="22" t="s">
        <v>364</v>
      </c>
      <c r="C112" s="23">
        <v>327025.0</v>
      </c>
      <c r="D112" s="22" t="s">
        <v>157</v>
      </c>
      <c r="E112" s="24">
        <f t="shared" si="1"/>
        <v>33</v>
      </c>
      <c r="F112" s="24">
        <f t="shared" si="2"/>
        <v>0</v>
      </c>
      <c r="G112" s="23">
        <f t="shared" si="3"/>
        <v>0.24</v>
      </c>
      <c r="H112" s="24">
        <f>VLOOKUP(A112,'Order Report(X)'!$H$1:$I$125,2,FALSE)</f>
        <v>240</v>
      </c>
      <c r="I112" s="24">
        <f t="shared" si="4"/>
        <v>0.5</v>
      </c>
      <c r="J112" s="24">
        <f t="shared" si="5"/>
        <v>500</v>
      </c>
      <c r="K112" s="25" t="str">
        <f>vlookup(C112,'Pincode Zone (X)'!$G$1:$H$109,2,false)</f>
        <v>b</v>
      </c>
      <c r="L112" s="24">
        <f>ifs(K112="a",'Rates (Courier)'!$A$2,K112="b",'Rates (Courier)'!$C$2,K112="c",'Rates (Courier)'!$E$2,K112="d",'Rates (Courier)'!$G$2,K112="e",'Rates (Courier)'!$I$2)</f>
        <v>33</v>
      </c>
      <c r="M112" s="24">
        <f>ifs(K112="a",'Rates (Courier)'!$B$2,K112="b",'Rates (Courier)'!$D$2,K112="c",'Rates (Courier)'!$F$2,K112="d",'Rates (Courier)'!$H$2,K112="e",'Rates (Courier)'!$J$2)</f>
        <v>28.3</v>
      </c>
      <c r="N112" s="24">
        <f>ifs(K112="a",'Rates (Courier)'!$K$2,K112="b",'Rates (Courier)'!$M$2,K112="c",'Rates (Courier)'!$O$2,K112="d",'Rates (Courier)'!$Q$2,K112="e",'Rates (Courier)'!$S$2)</f>
        <v>20.5</v>
      </c>
      <c r="O112" s="24">
        <f>ifs(K112="a",'Rates (Courier)'!$L$2,K112="b",'Rates (Courier)'!$N$2,K112="c",'Rates (Courier)'!$P$2,K112="d",'Rates (Courier)'!$R$2,K112="e",'Rates (Courier)'!$T$2)</f>
        <v>28.3</v>
      </c>
      <c r="P112" s="26">
        <f t="shared" si="6"/>
        <v>33</v>
      </c>
      <c r="Q112" s="23">
        <f>VLOOKUP(B112,'Invoice (Courier)'!$A$1:$C$125,3,FALSE)</f>
        <v>0.15</v>
      </c>
      <c r="R112" s="27">
        <f t="shared" si="7"/>
        <v>0.5</v>
      </c>
      <c r="S112" s="28" t="str">
        <f>VLOOKUP(B112,'Invoice (Courier)'!$A$1:$F$125,match('Invoice (Courier)'!$F$1,'Invoice (Courier)'!$A$1:$F$1,FALSE),FALSE)</f>
        <v>d</v>
      </c>
      <c r="T112" s="26">
        <f>ROUND((VLOOKUP(B112,'Invoice (Courier)'!$A$1:$H$125,match('Invoice (Courier)'!$H$1,'Invoice (Courier)'!$A$1:$H$1,FALSE),FALSE)),20)</f>
        <v>45.4</v>
      </c>
      <c r="U112" s="26">
        <f t="shared" si="8"/>
        <v>-12.4</v>
      </c>
      <c r="V112" s="24">
        <f t="shared" si="9"/>
        <v>27.31277533</v>
      </c>
      <c r="W112" s="24">
        <f t="shared" si="10"/>
        <v>137.5</v>
      </c>
      <c r="X112" s="24">
        <f t="shared" si="11"/>
        <v>0</v>
      </c>
    </row>
    <row r="113">
      <c r="A113" s="22" t="s">
        <v>40</v>
      </c>
      <c r="B113" s="22" t="s">
        <v>366</v>
      </c>
      <c r="C113" s="23">
        <v>313333.0</v>
      </c>
      <c r="D113" s="22" t="s">
        <v>157</v>
      </c>
      <c r="E113" s="24">
        <f t="shared" si="1"/>
        <v>61.3</v>
      </c>
      <c r="F113" s="24">
        <f t="shared" si="2"/>
        <v>0</v>
      </c>
      <c r="G113" s="23">
        <f t="shared" si="3"/>
        <v>0.755</v>
      </c>
      <c r="H113" s="24">
        <f>VLOOKUP(A113,'Order Report(X)'!$H$1:$I$125,2,FALSE)</f>
        <v>755</v>
      </c>
      <c r="I113" s="24">
        <f t="shared" si="4"/>
        <v>1</v>
      </c>
      <c r="J113" s="24">
        <f t="shared" si="5"/>
        <v>1000</v>
      </c>
      <c r="K113" s="25" t="str">
        <f>vlookup(C113,'Pincode Zone (X)'!$G$1:$H$109,2,false)</f>
        <v>b</v>
      </c>
      <c r="L113" s="24">
        <f>ifs(K113="a",'Rates (Courier)'!$A$2,K113="b",'Rates (Courier)'!$C$2,K113="c",'Rates (Courier)'!$E$2,K113="d",'Rates (Courier)'!$G$2,K113="e",'Rates (Courier)'!$I$2)</f>
        <v>33</v>
      </c>
      <c r="M113" s="24">
        <f>ifs(K113="a",'Rates (Courier)'!$B$2,K113="b",'Rates (Courier)'!$D$2,K113="c",'Rates (Courier)'!$F$2,K113="d",'Rates (Courier)'!$H$2,K113="e",'Rates (Courier)'!$J$2)</f>
        <v>28.3</v>
      </c>
      <c r="N113" s="24">
        <f>ifs(K113="a",'Rates (Courier)'!$K$2,K113="b",'Rates (Courier)'!$M$2,K113="c",'Rates (Courier)'!$O$2,K113="d",'Rates (Courier)'!$Q$2,K113="e",'Rates (Courier)'!$S$2)</f>
        <v>20.5</v>
      </c>
      <c r="O113" s="24">
        <f>ifs(K113="a",'Rates (Courier)'!$L$2,K113="b",'Rates (Courier)'!$N$2,K113="c",'Rates (Courier)'!$P$2,K113="d",'Rates (Courier)'!$R$2,K113="e",'Rates (Courier)'!$T$2)</f>
        <v>28.3</v>
      </c>
      <c r="P113" s="26">
        <f t="shared" si="6"/>
        <v>61.3</v>
      </c>
      <c r="Q113" s="23">
        <f>VLOOKUP(B113,'Invoice (Courier)'!$A$1:$C$125,3,FALSE)</f>
        <v>0.8</v>
      </c>
      <c r="R113" s="27">
        <f t="shared" si="7"/>
        <v>1</v>
      </c>
      <c r="S113" s="28" t="str">
        <f>VLOOKUP(B113,'Invoice (Courier)'!$A$1:$F$125,match('Invoice (Courier)'!$F$1,'Invoice (Courier)'!$A$1:$F$1,FALSE),FALSE)</f>
        <v>d</v>
      </c>
      <c r="T113" s="26">
        <f>ROUND((VLOOKUP(B113,'Invoice (Courier)'!$A$1:$H$125,match('Invoice (Courier)'!$H$1,'Invoice (Courier)'!$A$1:$H$1,FALSE),FALSE)),20)</f>
        <v>90.2</v>
      </c>
      <c r="U113" s="26">
        <f t="shared" si="8"/>
        <v>-28.9</v>
      </c>
      <c r="V113" s="24">
        <f t="shared" si="9"/>
        <v>32.03991131</v>
      </c>
      <c r="W113" s="24">
        <f t="shared" si="10"/>
        <v>81.19205298</v>
      </c>
      <c r="X113" s="24">
        <f t="shared" si="11"/>
        <v>0</v>
      </c>
    </row>
    <row r="114">
      <c r="A114" s="22" t="s">
        <v>38</v>
      </c>
      <c r="B114" s="22" t="s">
        <v>368</v>
      </c>
      <c r="C114" s="23">
        <v>313001.0</v>
      </c>
      <c r="D114" s="22" t="s">
        <v>157</v>
      </c>
      <c r="E114" s="24">
        <f t="shared" si="1"/>
        <v>33</v>
      </c>
      <c r="F114" s="24">
        <f t="shared" si="2"/>
        <v>0</v>
      </c>
      <c r="G114" s="23">
        <f t="shared" si="3"/>
        <v>0.24</v>
      </c>
      <c r="H114" s="24">
        <f>VLOOKUP(A114,'Order Report(X)'!$H$1:$I$125,2,FALSE)</f>
        <v>240</v>
      </c>
      <c r="I114" s="24">
        <f t="shared" si="4"/>
        <v>0.5</v>
      </c>
      <c r="J114" s="24">
        <f t="shared" si="5"/>
        <v>500</v>
      </c>
      <c r="K114" s="25" t="str">
        <f>vlookup(C114,'Pincode Zone (X)'!$G$1:$H$109,2,false)</f>
        <v>b</v>
      </c>
      <c r="L114" s="24">
        <f>ifs(K114="a",'Rates (Courier)'!$A$2,K114="b",'Rates (Courier)'!$C$2,K114="c",'Rates (Courier)'!$E$2,K114="d",'Rates (Courier)'!$G$2,K114="e",'Rates (Courier)'!$I$2)</f>
        <v>33</v>
      </c>
      <c r="M114" s="24">
        <f>ifs(K114="a",'Rates (Courier)'!$B$2,K114="b",'Rates (Courier)'!$D$2,K114="c",'Rates (Courier)'!$F$2,K114="d",'Rates (Courier)'!$H$2,K114="e",'Rates (Courier)'!$J$2)</f>
        <v>28.3</v>
      </c>
      <c r="N114" s="24">
        <f>ifs(K114="a",'Rates (Courier)'!$K$2,K114="b",'Rates (Courier)'!$M$2,K114="c",'Rates (Courier)'!$O$2,K114="d",'Rates (Courier)'!$Q$2,K114="e",'Rates (Courier)'!$S$2)</f>
        <v>20.5</v>
      </c>
      <c r="O114" s="24">
        <f>ifs(K114="a",'Rates (Courier)'!$L$2,K114="b",'Rates (Courier)'!$N$2,K114="c",'Rates (Courier)'!$P$2,K114="d",'Rates (Courier)'!$R$2,K114="e",'Rates (Courier)'!$T$2)</f>
        <v>28.3</v>
      </c>
      <c r="P114" s="26">
        <f t="shared" si="6"/>
        <v>33</v>
      </c>
      <c r="Q114" s="23">
        <f>VLOOKUP(B114,'Invoice (Courier)'!$A$1:$C$125,3,FALSE)</f>
        <v>0.2</v>
      </c>
      <c r="R114" s="27">
        <f t="shared" si="7"/>
        <v>0.5</v>
      </c>
      <c r="S114" s="28" t="str">
        <f>VLOOKUP(B114,'Invoice (Courier)'!$A$1:$F$125,match('Invoice (Courier)'!$F$1,'Invoice (Courier)'!$A$1:$F$1,FALSE),FALSE)</f>
        <v>d</v>
      </c>
      <c r="T114" s="26">
        <f>ROUND((VLOOKUP(B114,'Invoice (Courier)'!$A$1:$H$125,match('Invoice (Courier)'!$H$1,'Invoice (Courier)'!$A$1:$H$1,FALSE),FALSE)),20)</f>
        <v>45.4</v>
      </c>
      <c r="U114" s="26">
        <f t="shared" si="8"/>
        <v>-12.4</v>
      </c>
      <c r="V114" s="24">
        <f t="shared" si="9"/>
        <v>27.31277533</v>
      </c>
      <c r="W114" s="24">
        <f t="shared" si="10"/>
        <v>137.5</v>
      </c>
      <c r="X114" s="24">
        <f t="shared" si="11"/>
        <v>0</v>
      </c>
    </row>
    <row r="115">
      <c r="A115" s="22" t="s">
        <v>35</v>
      </c>
      <c r="B115" s="22" t="s">
        <v>369</v>
      </c>
      <c r="C115" s="23">
        <v>342008.0</v>
      </c>
      <c r="D115" s="22" t="s">
        <v>157</v>
      </c>
      <c r="E115" s="24">
        <f t="shared" si="1"/>
        <v>33</v>
      </c>
      <c r="F115" s="24">
        <f t="shared" si="2"/>
        <v>0</v>
      </c>
      <c r="G115" s="23">
        <f t="shared" si="3"/>
        <v>0.477</v>
      </c>
      <c r="H115" s="24">
        <f>VLOOKUP(A115,'Order Report(X)'!$H$1:$I$125,2,FALSE)</f>
        <v>477</v>
      </c>
      <c r="I115" s="24">
        <f t="shared" si="4"/>
        <v>0.5</v>
      </c>
      <c r="J115" s="24">
        <f t="shared" si="5"/>
        <v>500</v>
      </c>
      <c r="K115" s="25" t="str">
        <f>vlookup(C115,'Pincode Zone (X)'!$G$1:$H$109,2,false)</f>
        <v>b</v>
      </c>
      <c r="L115" s="24">
        <f>ifs(K115="a",'Rates (Courier)'!$A$2,K115="b",'Rates (Courier)'!$C$2,K115="c",'Rates (Courier)'!$E$2,K115="d",'Rates (Courier)'!$G$2,K115="e",'Rates (Courier)'!$I$2)</f>
        <v>33</v>
      </c>
      <c r="M115" s="24">
        <f>ifs(K115="a",'Rates (Courier)'!$B$2,K115="b",'Rates (Courier)'!$D$2,K115="c",'Rates (Courier)'!$F$2,K115="d",'Rates (Courier)'!$H$2,K115="e",'Rates (Courier)'!$J$2)</f>
        <v>28.3</v>
      </c>
      <c r="N115" s="24">
        <f>ifs(K115="a",'Rates (Courier)'!$K$2,K115="b",'Rates (Courier)'!$M$2,K115="c",'Rates (Courier)'!$O$2,K115="d",'Rates (Courier)'!$Q$2,K115="e",'Rates (Courier)'!$S$2)</f>
        <v>20.5</v>
      </c>
      <c r="O115" s="24">
        <f>ifs(K115="a",'Rates (Courier)'!$L$2,K115="b",'Rates (Courier)'!$N$2,K115="c",'Rates (Courier)'!$P$2,K115="d",'Rates (Courier)'!$R$2,K115="e",'Rates (Courier)'!$T$2)</f>
        <v>28.3</v>
      </c>
      <c r="P115" s="26">
        <f t="shared" si="6"/>
        <v>33</v>
      </c>
      <c r="Q115" s="23">
        <f>VLOOKUP(B115,'Invoice (Courier)'!$A$1:$C$125,3,FALSE)</f>
        <v>0.5</v>
      </c>
      <c r="R115" s="27">
        <f t="shared" si="7"/>
        <v>0.5</v>
      </c>
      <c r="S115" s="28" t="str">
        <f>VLOOKUP(B115,'Invoice (Courier)'!$A$1:$F$125,match('Invoice (Courier)'!$F$1,'Invoice (Courier)'!$A$1:$F$1,FALSE),FALSE)</f>
        <v>d</v>
      </c>
      <c r="T115" s="26">
        <f>ROUND((VLOOKUP(B115,'Invoice (Courier)'!$A$1:$H$125,match('Invoice (Courier)'!$H$1,'Invoice (Courier)'!$A$1:$H$1,FALSE),FALSE)),20)</f>
        <v>45.4</v>
      </c>
      <c r="U115" s="26">
        <f t="shared" si="8"/>
        <v>-12.4</v>
      </c>
      <c r="V115" s="24">
        <f t="shared" si="9"/>
        <v>27.31277533</v>
      </c>
      <c r="W115" s="24">
        <f t="shared" si="10"/>
        <v>69.18238994</v>
      </c>
      <c r="X115" s="24">
        <f t="shared" si="11"/>
        <v>0</v>
      </c>
    </row>
    <row r="116">
      <c r="A116" s="22" t="s">
        <v>48</v>
      </c>
      <c r="B116" s="22" t="s">
        <v>371</v>
      </c>
      <c r="C116" s="23">
        <v>314401.0</v>
      </c>
      <c r="D116" s="22" t="s">
        <v>157</v>
      </c>
      <c r="E116" s="24">
        <f t="shared" si="1"/>
        <v>61.3</v>
      </c>
      <c r="F116" s="24">
        <f t="shared" si="2"/>
        <v>0</v>
      </c>
      <c r="G116" s="23">
        <f t="shared" si="3"/>
        <v>0.558</v>
      </c>
      <c r="H116" s="24">
        <f>VLOOKUP(A116,'Order Report(X)'!$H$1:$I$125,2,FALSE)</f>
        <v>558</v>
      </c>
      <c r="I116" s="24">
        <f t="shared" si="4"/>
        <v>1</v>
      </c>
      <c r="J116" s="24">
        <f t="shared" si="5"/>
        <v>1000</v>
      </c>
      <c r="K116" s="25" t="str">
        <f>vlookup(C116,'Pincode Zone (X)'!$G$1:$H$109,2,false)</f>
        <v>b</v>
      </c>
      <c r="L116" s="24">
        <f>ifs(K116="a",'Rates (Courier)'!$A$2,K116="b",'Rates (Courier)'!$C$2,K116="c",'Rates (Courier)'!$E$2,K116="d",'Rates (Courier)'!$G$2,K116="e",'Rates (Courier)'!$I$2)</f>
        <v>33</v>
      </c>
      <c r="M116" s="24">
        <f>ifs(K116="a",'Rates (Courier)'!$B$2,K116="b",'Rates (Courier)'!$D$2,K116="c",'Rates (Courier)'!$F$2,K116="d",'Rates (Courier)'!$H$2,K116="e",'Rates (Courier)'!$J$2)</f>
        <v>28.3</v>
      </c>
      <c r="N116" s="24">
        <f>ifs(K116="a",'Rates (Courier)'!$K$2,K116="b",'Rates (Courier)'!$M$2,K116="c",'Rates (Courier)'!$O$2,K116="d",'Rates (Courier)'!$Q$2,K116="e",'Rates (Courier)'!$S$2)</f>
        <v>20.5</v>
      </c>
      <c r="O116" s="24">
        <f>ifs(K116="a",'Rates (Courier)'!$L$2,K116="b",'Rates (Courier)'!$N$2,K116="c",'Rates (Courier)'!$P$2,K116="d",'Rates (Courier)'!$R$2,K116="e",'Rates (Courier)'!$T$2)</f>
        <v>28.3</v>
      </c>
      <c r="P116" s="26">
        <f t="shared" si="6"/>
        <v>61.3</v>
      </c>
      <c r="Q116" s="23">
        <f>VLOOKUP(B116,'Invoice (Courier)'!$A$1:$C$125,3,FALSE)</f>
        <v>0.6</v>
      </c>
      <c r="R116" s="27">
        <f t="shared" si="7"/>
        <v>1</v>
      </c>
      <c r="S116" s="28" t="str">
        <f>VLOOKUP(B116,'Invoice (Courier)'!$A$1:$F$125,match('Invoice (Courier)'!$F$1,'Invoice (Courier)'!$A$1:$F$1,FALSE),FALSE)</f>
        <v>d</v>
      </c>
      <c r="T116" s="26">
        <f>ROUND((VLOOKUP(B116,'Invoice (Courier)'!$A$1:$H$125,match('Invoice (Courier)'!$H$1,'Invoice (Courier)'!$A$1:$H$1,FALSE),FALSE)),20)</f>
        <v>90.2</v>
      </c>
      <c r="U116" s="26">
        <f t="shared" si="8"/>
        <v>-28.9</v>
      </c>
      <c r="V116" s="24">
        <f t="shared" si="9"/>
        <v>32.03991131</v>
      </c>
      <c r="W116" s="24">
        <f t="shared" si="10"/>
        <v>109.8566308</v>
      </c>
      <c r="X116" s="24">
        <f t="shared" si="11"/>
        <v>0</v>
      </c>
    </row>
    <row r="117">
      <c r="A117" s="22" t="s">
        <v>31</v>
      </c>
      <c r="B117" s="22" t="s">
        <v>373</v>
      </c>
      <c r="C117" s="23">
        <v>342301.0</v>
      </c>
      <c r="D117" s="22" t="s">
        <v>157</v>
      </c>
      <c r="E117" s="24">
        <f t="shared" si="1"/>
        <v>89.6</v>
      </c>
      <c r="F117" s="24">
        <f t="shared" si="2"/>
        <v>0</v>
      </c>
      <c r="G117" s="23">
        <f t="shared" si="3"/>
        <v>1.376</v>
      </c>
      <c r="H117" s="24">
        <f>VLOOKUP(A117,'Order Report(X)'!$H$1:$I$125,2,FALSE)</f>
        <v>1376</v>
      </c>
      <c r="I117" s="24">
        <f t="shared" si="4"/>
        <v>1.5</v>
      </c>
      <c r="J117" s="24">
        <f t="shared" si="5"/>
        <v>1500</v>
      </c>
      <c r="K117" s="25" t="str">
        <f>vlookup(C117,'Pincode Zone (X)'!$G$1:$H$109,2,false)</f>
        <v>b</v>
      </c>
      <c r="L117" s="24">
        <f>ifs(K117="a",'Rates (Courier)'!$A$2,K117="b",'Rates (Courier)'!$C$2,K117="c",'Rates (Courier)'!$E$2,K117="d",'Rates (Courier)'!$G$2,K117="e",'Rates (Courier)'!$I$2)</f>
        <v>33</v>
      </c>
      <c r="M117" s="24">
        <f>ifs(K117="a",'Rates (Courier)'!$B$2,K117="b",'Rates (Courier)'!$D$2,K117="c",'Rates (Courier)'!$F$2,K117="d",'Rates (Courier)'!$H$2,K117="e",'Rates (Courier)'!$J$2)</f>
        <v>28.3</v>
      </c>
      <c r="N117" s="24">
        <f>ifs(K117="a",'Rates (Courier)'!$K$2,K117="b",'Rates (Courier)'!$M$2,K117="c",'Rates (Courier)'!$O$2,K117="d",'Rates (Courier)'!$Q$2,K117="e",'Rates (Courier)'!$S$2)</f>
        <v>20.5</v>
      </c>
      <c r="O117" s="24">
        <f>ifs(K117="a",'Rates (Courier)'!$L$2,K117="b",'Rates (Courier)'!$N$2,K117="c",'Rates (Courier)'!$P$2,K117="d",'Rates (Courier)'!$R$2,K117="e",'Rates (Courier)'!$T$2)</f>
        <v>28.3</v>
      </c>
      <c r="P117" s="26">
        <f t="shared" si="6"/>
        <v>89.6</v>
      </c>
      <c r="Q117" s="23">
        <f>VLOOKUP(B117,'Invoice (Courier)'!$A$1:$C$125,3,FALSE)</f>
        <v>1.1</v>
      </c>
      <c r="R117" s="27">
        <f t="shared" si="7"/>
        <v>1.5</v>
      </c>
      <c r="S117" s="28" t="str">
        <f>VLOOKUP(B117,'Invoice (Courier)'!$A$1:$F$125,match('Invoice (Courier)'!$F$1,'Invoice (Courier)'!$A$1:$F$1,FALSE),FALSE)</f>
        <v>d</v>
      </c>
      <c r="T117" s="26">
        <f>ROUND((VLOOKUP(B117,'Invoice (Courier)'!$A$1:$H$125,match('Invoice (Courier)'!$H$1,'Invoice (Courier)'!$A$1:$H$1,FALSE),FALSE)),20)</f>
        <v>135</v>
      </c>
      <c r="U117" s="26">
        <f t="shared" si="8"/>
        <v>-45.4</v>
      </c>
      <c r="V117" s="24">
        <f t="shared" si="9"/>
        <v>33.62962963</v>
      </c>
      <c r="W117" s="24">
        <f t="shared" si="10"/>
        <v>65.11627907</v>
      </c>
      <c r="X117" s="24">
        <f t="shared" si="11"/>
        <v>0</v>
      </c>
    </row>
    <row r="118">
      <c r="A118" s="22" t="s">
        <v>70</v>
      </c>
      <c r="B118" s="22" t="s">
        <v>375</v>
      </c>
      <c r="C118" s="23">
        <v>313003.0</v>
      </c>
      <c r="D118" s="22" t="s">
        <v>157</v>
      </c>
      <c r="E118" s="24">
        <f t="shared" si="1"/>
        <v>33</v>
      </c>
      <c r="F118" s="24">
        <f t="shared" si="2"/>
        <v>0</v>
      </c>
      <c r="G118" s="23">
        <f t="shared" si="3"/>
        <v>0.065</v>
      </c>
      <c r="H118" s="24">
        <f>VLOOKUP(A118,'Order Report(X)'!$H$1:$I$125,2,FALSE)</f>
        <v>65</v>
      </c>
      <c r="I118" s="24">
        <f t="shared" si="4"/>
        <v>0.5</v>
      </c>
      <c r="J118" s="24">
        <f t="shared" si="5"/>
        <v>500</v>
      </c>
      <c r="K118" s="25" t="str">
        <f>vlookup(C118,'Pincode Zone (X)'!$G$1:$H$109,2,false)</f>
        <v>b</v>
      </c>
      <c r="L118" s="24">
        <f>ifs(K118="a",'Rates (Courier)'!$A$2,K118="b",'Rates (Courier)'!$C$2,K118="c",'Rates (Courier)'!$E$2,K118="d",'Rates (Courier)'!$G$2,K118="e",'Rates (Courier)'!$I$2)</f>
        <v>33</v>
      </c>
      <c r="M118" s="24">
        <f>ifs(K118="a",'Rates (Courier)'!$B$2,K118="b",'Rates (Courier)'!$D$2,K118="c",'Rates (Courier)'!$F$2,K118="d",'Rates (Courier)'!$H$2,K118="e",'Rates (Courier)'!$J$2)</f>
        <v>28.3</v>
      </c>
      <c r="N118" s="24">
        <f>ifs(K118="a",'Rates (Courier)'!$K$2,K118="b",'Rates (Courier)'!$M$2,K118="c",'Rates (Courier)'!$O$2,K118="d",'Rates (Courier)'!$Q$2,K118="e",'Rates (Courier)'!$S$2)</f>
        <v>20.5</v>
      </c>
      <c r="O118" s="24">
        <f>ifs(K118="a",'Rates (Courier)'!$L$2,K118="b",'Rates (Courier)'!$N$2,K118="c",'Rates (Courier)'!$P$2,K118="d",'Rates (Courier)'!$R$2,K118="e",'Rates (Courier)'!$T$2)</f>
        <v>28.3</v>
      </c>
      <c r="P118" s="26">
        <f t="shared" si="6"/>
        <v>33</v>
      </c>
      <c r="Q118" s="23">
        <f>VLOOKUP(B118,'Invoice (Courier)'!$A$1:$C$125,3,FALSE)</f>
        <v>0.15</v>
      </c>
      <c r="R118" s="27">
        <f t="shared" si="7"/>
        <v>0.5</v>
      </c>
      <c r="S118" s="28" t="str">
        <f>VLOOKUP(B118,'Invoice (Courier)'!$A$1:$F$125,match('Invoice (Courier)'!$F$1,'Invoice (Courier)'!$A$1:$F$1,FALSE),FALSE)</f>
        <v>d</v>
      </c>
      <c r="T118" s="26">
        <f>ROUND((VLOOKUP(B118,'Invoice (Courier)'!$A$1:$H$125,match('Invoice (Courier)'!$H$1,'Invoice (Courier)'!$A$1:$H$1,FALSE),FALSE)),20)</f>
        <v>45.4</v>
      </c>
      <c r="U118" s="26">
        <f t="shared" si="8"/>
        <v>-12.4</v>
      </c>
      <c r="V118" s="24">
        <f t="shared" si="9"/>
        <v>27.31277533</v>
      </c>
      <c r="W118" s="24">
        <f t="shared" si="10"/>
        <v>507.6923077</v>
      </c>
      <c r="X118" s="24">
        <f t="shared" si="11"/>
        <v>0</v>
      </c>
    </row>
    <row r="119">
      <c r="A119" s="22" t="s">
        <v>113</v>
      </c>
      <c r="B119" s="22" t="s">
        <v>377</v>
      </c>
      <c r="C119" s="23">
        <v>831006.0</v>
      </c>
      <c r="D119" s="22" t="s">
        <v>253</v>
      </c>
      <c r="E119" s="24">
        <f t="shared" si="1"/>
        <v>90.2</v>
      </c>
      <c r="F119" s="24">
        <f t="shared" si="2"/>
        <v>86.1</v>
      </c>
      <c r="G119" s="23">
        <f t="shared" si="3"/>
        <v>0.63</v>
      </c>
      <c r="H119" s="24">
        <f>VLOOKUP(A119,'Order Report(X)'!$H$1:$I$125,2,FALSE)</f>
        <v>630</v>
      </c>
      <c r="I119" s="24">
        <f t="shared" si="4"/>
        <v>1</v>
      </c>
      <c r="J119" s="24">
        <f t="shared" si="5"/>
        <v>1000</v>
      </c>
      <c r="K119" s="25" t="str">
        <f>vlookup(C119,'Pincode Zone (X)'!$G$1:$H$109,2,false)</f>
        <v>d</v>
      </c>
      <c r="L119" s="24">
        <f>ifs(K119="a",'Rates (Courier)'!$A$2,K119="b",'Rates (Courier)'!$C$2,K119="c",'Rates (Courier)'!$E$2,K119="d",'Rates (Courier)'!$G$2,K119="e",'Rates (Courier)'!$I$2)</f>
        <v>45.4</v>
      </c>
      <c r="M119" s="24">
        <f>ifs(K119="a",'Rates (Courier)'!$B$2,K119="b",'Rates (Courier)'!$D$2,K119="c",'Rates (Courier)'!$F$2,K119="d",'Rates (Courier)'!$H$2,K119="e",'Rates (Courier)'!$J$2)</f>
        <v>44.8</v>
      </c>
      <c r="N119" s="24">
        <f>ifs(K119="a",'Rates (Courier)'!$K$2,K119="b",'Rates (Courier)'!$M$2,K119="c",'Rates (Courier)'!$O$2,K119="d",'Rates (Courier)'!$Q$2,K119="e",'Rates (Courier)'!$S$2)</f>
        <v>41.3</v>
      </c>
      <c r="O119" s="24">
        <f>ifs(K119="a",'Rates (Courier)'!$L$2,K119="b",'Rates (Courier)'!$N$2,K119="c",'Rates (Courier)'!$P$2,K119="d",'Rates (Courier)'!$R$2,K119="e",'Rates (Courier)'!$T$2)</f>
        <v>44.8</v>
      </c>
      <c r="P119" s="26">
        <f t="shared" si="6"/>
        <v>176.3</v>
      </c>
      <c r="Q119" s="23">
        <f>VLOOKUP(B119,'Invoice (Courier)'!$A$1:$C$125,3,FALSE)</f>
        <v>0.6</v>
      </c>
      <c r="R119" s="27">
        <f t="shared" si="7"/>
        <v>1</v>
      </c>
      <c r="S119" s="28" t="str">
        <f>VLOOKUP(B119,'Invoice (Courier)'!$A$1:$F$125,match('Invoice (Courier)'!$F$1,'Invoice (Courier)'!$A$1:$F$1,FALSE),FALSE)</f>
        <v>d</v>
      </c>
      <c r="T119" s="26">
        <f>ROUND((VLOOKUP(B119,'Invoice (Courier)'!$A$1:$H$125,match('Invoice (Courier)'!$H$1,'Invoice (Courier)'!$A$1:$H$1,FALSE),FALSE)),20)</f>
        <v>172.8</v>
      </c>
      <c r="U119" s="26">
        <f t="shared" si="8"/>
        <v>3.5</v>
      </c>
      <c r="V119" s="24">
        <f t="shared" si="9"/>
        <v>-2.025462963</v>
      </c>
      <c r="W119" s="24">
        <f t="shared" si="10"/>
        <v>143.1746032</v>
      </c>
      <c r="X119" s="24">
        <f t="shared" si="11"/>
        <v>136.6666667</v>
      </c>
    </row>
    <row r="120">
      <c r="A120" s="22" t="s">
        <v>83</v>
      </c>
      <c r="B120" s="22" t="s">
        <v>379</v>
      </c>
      <c r="C120" s="23">
        <v>244001.0</v>
      </c>
      <c r="D120" s="22" t="s">
        <v>253</v>
      </c>
      <c r="E120" s="24">
        <f t="shared" si="1"/>
        <v>89.6</v>
      </c>
      <c r="F120" s="24">
        <f t="shared" si="2"/>
        <v>77.1</v>
      </c>
      <c r="G120" s="23">
        <f t="shared" si="3"/>
        <v>1.357</v>
      </c>
      <c r="H120" s="24">
        <f>VLOOKUP(A120,'Order Report(X)'!$H$1:$I$125,2,FALSE)</f>
        <v>1357</v>
      </c>
      <c r="I120" s="24">
        <f t="shared" si="4"/>
        <v>1.5</v>
      </c>
      <c r="J120" s="24">
        <f t="shared" si="5"/>
        <v>1500</v>
      </c>
      <c r="K120" s="25" t="str">
        <f>vlookup(C120,'Pincode Zone (X)'!$G$1:$H$109,2,false)</f>
        <v>b</v>
      </c>
      <c r="L120" s="24">
        <f>ifs(K120="a",'Rates (Courier)'!$A$2,K120="b",'Rates (Courier)'!$C$2,K120="c",'Rates (Courier)'!$E$2,K120="d",'Rates (Courier)'!$G$2,K120="e",'Rates (Courier)'!$I$2)</f>
        <v>33</v>
      </c>
      <c r="M120" s="24">
        <f>ifs(K120="a",'Rates (Courier)'!$B$2,K120="b",'Rates (Courier)'!$D$2,K120="c",'Rates (Courier)'!$F$2,K120="d",'Rates (Courier)'!$H$2,K120="e",'Rates (Courier)'!$J$2)</f>
        <v>28.3</v>
      </c>
      <c r="N120" s="24">
        <f>ifs(K120="a",'Rates (Courier)'!$K$2,K120="b",'Rates (Courier)'!$M$2,K120="c",'Rates (Courier)'!$O$2,K120="d",'Rates (Courier)'!$Q$2,K120="e",'Rates (Courier)'!$S$2)</f>
        <v>20.5</v>
      </c>
      <c r="O120" s="24">
        <f>ifs(K120="a",'Rates (Courier)'!$L$2,K120="b",'Rates (Courier)'!$N$2,K120="c",'Rates (Courier)'!$P$2,K120="d",'Rates (Courier)'!$R$2,K120="e",'Rates (Courier)'!$T$2)</f>
        <v>28.3</v>
      </c>
      <c r="P120" s="26">
        <f t="shared" si="6"/>
        <v>166.7</v>
      </c>
      <c r="Q120" s="23">
        <f>VLOOKUP(B120,'Invoice (Courier)'!$A$1:$C$125,3,FALSE)</f>
        <v>1.3</v>
      </c>
      <c r="R120" s="27">
        <f t="shared" si="7"/>
        <v>1.5</v>
      </c>
      <c r="S120" s="28" t="str">
        <f>VLOOKUP(B120,'Invoice (Courier)'!$A$1:$F$125,match('Invoice (Courier)'!$F$1,'Invoice (Courier)'!$A$1:$F$1,FALSE),FALSE)</f>
        <v>b</v>
      </c>
      <c r="T120" s="26">
        <f>ROUND((VLOOKUP(B120,'Invoice (Courier)'!$A$1:$H$125,match('Invoice (Courier)'!$H$1,'Invoice (Courier)'!$A$1:$H$1,FALSE),FALSE)),20)</f>
        <v>151.1</v>
      </c>
      <c r="U120" s="26">
        <f t="shared" si="8"/>
        <v>15.6</v>
      </c>
      <c r="V120" s="24">
        <f t="shared" si="9"/>
        <v>-10.32428855</v>
      </c>
      <c r="W120" s="24">
        <f t="shared" si="10"/>
        <v>66.02800295</v>
      </c>
      <c r="X120" s="24">
        <f t="shared" si="11"/>
        <v>56.816507</v>
      </c>
    </row>
    <row r="121">
      <c r="A121" s="22" t="s">
        <v>27</v>
      </c>
      <c r="B121" s="22" t="s">
        <v>381</v>
      </c>
      <c r="C121" s="23">
        <v>492001.0</v>
      </c>
      <c r="D121" s="22" t="s">
        <v>253</v>
      </c>
      <c r="E121" s="24">
        <f t="shared" si="1"/>
        <v>90.2</v>
      </c>
      <c r="F121" s="24">
        <f t="shared" si="2"/>
        <v>86.1</v>
      </c>
      <c r="G121" s="23">
        <f t="shared" si="3"/>
        <v>0.672</v>
      </c>
      <c r="H121" s="24">
        <f>VLOOKUP(A121,'Order Report(X)'!$H$1:$I$125,2,FALSE)</f>
        <v>672</v>
      </c>
      <c r="I121" s="24">
        <f t="shared" si="4"/>
        <v>1</v>
      </c>
      <c r="J121" s="24">
        <f t="shared" si="5"/>
        <v>1000</v>
      </c>
      <c r="K121" s="25" t="str">
        <f>vlookup(C121,'Pincode Zone (X)'!$G$1:$H$109,2,false)</f>
        <v>d</v>
      </c>
      <c r="L121" s="24">
        <f>ifs(K121="a",'Rates (Courier)'!$A$2,K121="b",'Rates (Courier)'!$C$2,K121="c",'Rates (Courier)'!$E$2,K121="d",'Rates (Courier)'!$G$2,K121="e",'Rates (Courier)'!$I$2)</f>
        <v>45.4</v>
      </c>
      <c r="M121" s="24">
        <f>ifs(K121="a",'Rates (Courier)'!$B$2,K121="b",'Rates (Courier)'!$D$2,K121="c",'Rates (Courier)'!$F$2,K121="d",'Rates (Courier)'!$H$2,K121="e",'Rates (Courier)'!$J$2)</f>
        <v>44.8</v>
      </c>
      <c r="N121" s="24">
        <f>ifs(K121="a",'Rates (Courier)'!$K$2,K121="b",'Rates (Courier)'!$M$2,K121="c",'Rates (Courier)'!$O$2,K121="d",'Rates (Courier)'!$Q$2,K121="e",'Rates (Courier)'!$S$2)</f>
        <v>41.3</v>
      </c>
      <c r="O121" s="24">
        <f>ifs(K121="a",'Rates (Courier)'!$L$2,K121="b",'Rates (Courier)'!$N$2,K121="c",'Rates (Courier)'!$P$2,K121="d",'Rates (Courier)'!$R$2,K121="e",'Rates (Courier)'!$T$2)</f>
        <v>44.8</v>
      </c>
      <c r="P121" s="26">
        <f t="shared" si="6"/>
        <v>176.3</v>
      </c>
      <c r="Q121" s="23">
        <f>VLOOKUP(B121,'Invoice (Courier)'!$A$1:$C$125,3,FALSE)</f>
        <v>0.7</v>
      </c>
      <c r="R121" s="27">
        <f t="shared" si="7"/>
        <v>1</v>
      </c>
      <c r="S121" s="28" t="str">
        <f>VLOOKUP(B121,'Invoice (Courier)'!$A$1:$F$125,match('Invoice (Courier)'!$F$1,'Invoice (Courier)'!$A$1:$F$1,FALSE),FALSE)</f>
        <v>d</v>
      </c>
      <c r="T121" s="26">
        <f>ROUND((VLOOKUP(B121,'Invoice (Courier)'!$A$1:$H$125,match('Invoice (Courier)'!$H$1,'Invoice (Courier)'!$A$1:$H$1,FALSE),FALSE)),20)</f>
        <v>172.8</v>
      </c>
      <c r="U121" s="26">
        <f t="shared" si="8"/>
        <v>3.5</v>
      </c>
      <c r="V121" s="24">
        <f t="shared" si="9"/>
        <v>-2.025462963</v>
      </c>
      <c r="W121" s="24">
        <f t="shared" si="10"/>
        <v>134.2261905</v>
      </c>
      <c r="X121" s="24">
        <f t="shared" si="11"/>
        <v>128.125</v>
      </c>
    </row>
    <row r="122">
      <c r="A122" s="22" t="s">
        <v>135</v>
      </c>
      <c r="B122" s="22" t="s">
        <v>383</v>
      </c>
      <c r="C122" s="23">
        <v>173212.0</v>
      </c>
      <c r="D122" s="22" t="s">
        <v>157</v>
      </c>
      <c r="E122" s="24">
        <f t="shared" si="1"/>
        <v>112.1</v>
      </c>
      <c r="F122" s="24">
        <f t="shared" si="2"/>
        <v>0</v>
      </c>
      <c r="G122" s="23">
        <f t="shared" si="3"/>
        <v>0.689</v>
      </c>
      <c r="H122" s="24">
        <f>VLOOKUP(A122,'Order Report(X)'!$H$1:$I$125,2,FALSE)</f>
        <v>689</v>
      </c>
      <c r="I122" s="24">
        <f t="shared" si="4"/>
        <v>1</v>
      </c>
      <c r="J122" s="24">
        <f t="shared" si="5"/>
        <v>1000</v>
      </c>
      <c r="K122" s="25" t="str">
        <f>vlookup(C122,'Pincode Zone (X)'!$G$1:$H$109,2,false)</f>
        <v>e</v>
      </c>
      <c r="L122" s="24">
        <f>ifs(K122="a",'Rates (Courier)'!$A$2,K122="b",'Rates (Courier)'!$C$2,K122="c",'Rates (Courier)'!$E$2,K122="d",'Rates (Courier)'!$G$2,K122="e",'Rates (Courier)'!$I$2)</f>
        <v>56.6</v>
      </c>
      <c r="M122" s="24">
        <f>ifs(K122="a",'Rates (Courier)'!$B$2,K122="b",'Rates (Courier)'!$D$2,K122="c",'Rates (Courier)'!$F$2,K122="d",'Rates (Courier)'!$H$2,K122="e",'Rates (Courier)'!$J$2)</f>
        <v>55.5</v>
      </c>
      <c r="N122" s="24">
        <f>ifs(K122="a",'Rates (Courier)'!$K$2,K122="b",'Rates (Courier)'!$M$2,K122="c",'Rates (Courier)'!$O$2,K122="d",'Rates (Courier)'!$Q$2,K122="e",'Rates (Courier)'!$S$2)</f>
        <v>50.7</v>
      </c>
      <c r="O122" s="24">
        <f>ifs(K122="a",'Rates (Courier)'!$L$2,K122="b",'Rates (Courier)'!$N$2,K122="c",'Rates (Courier)'!$P$2,K122="d",'Rates (Courier)'!$R$2,K122="e",'Rates (Courier)'!$T$2)</f>
        <v>55.5</v>
      </c>
      <c r="P122" s="26">
        <f t="shared" si="6"/>
        <v>112.1</v>
      </c>
      <c r="Q122" s="23">
        <f>VLOOKUP(B122,'Invoice (Courier)'!$A$1:$C$125,3,FALSE)</f>
        <v>0.5</v>
      </c>
      <c r="R122" s="27">
        <f t="shared" si="7"/>
        <v>0.5</v>
      </c>
      <c r="S122" s="28" t="str">
        <f>VLOOKUP(B122,'Invoice (Courier)'!$A$1:$F$125,match('Invoice (Courier)'!$F$1,'Invoice (Courier)'!$A$1:$F$1,FALSE),FALSE)</f>
        <v>b</v>
      </c>
      <c r="T122" s="26">
        <f>ROUND((VLOOKUP(B122,'Invoice (Courier)'!$A$1:$H$125,match('Invoice (Courier)'!$H$1,'Invoice (Courier)'!$A$1:$H$1,FALSE),FALSE)),20)</f>
        <v>33</v>
      </c>
      <c r="U122" s="26">
        <f t="shared" si="8"/>
        <v>79.1</v>
      </c>
      <c r="V122" s="24">
        <f t="shared" si="9"/>
        <v>-239.6969697</v>
      </c>
      <c r="W122" s="24">
        <f t="shared" si="10"/>
        <v>162.6995646</v>
      </c>
      <c r="X122" s="24">
        <f t="shared" si="11"/>
        <v>0</v>
      </c>
    </row>
    <row r="123">
      <c r="A123" s="22" t="s">
        <v>129</v>
      </c>
      <c r="B123" s="22" t="s">
        <v>384</v>
      </c>
      <c r="C123" s="23">
        <v>302020.0</v>
      </c>
      <c r="D123" s="22" t="s">
        <v>157</v>
      </c>
      <c r="E123" s="24">
        <f t="shared" si="1"/>
        <v>61.3</v>
      </c>
      <c r="F123" s="24">
        <f t="shared" si="2"/>
        <v>0</v>
      </c>
      <c r="G123" s="23">
        <f t="shared" si="3"/>
        <v>0.75</v>
      </c>
      <c r="H123" s="24">
        <f>VLOOKUP(A123,'Order Report(X)'!$H$1:$I$125,2,FALSE)</f>
        <v>750</v>
      </c>
      <c r="I123" s="24">
        <f t="shared" si="4"/>
        <v>1</v>
      </c>
      <c r="J123" s="24">
        <f t="shared" si="5"/>
        <v>1000</v>
      </c>
      <c r="K123" s="25" t="str">
        <f>vlookup(C123,'Pincode Zone (X)'!$G$1:$H$109,2,false)</f>
        <v>b</v>
      </c>
      <c r="L123" s="24">
        <f>ifs(K123="a",'Rates (Courier)'!$A$2,K123="b",'Rates (Courier)'!$C$2,K123="c",'Rates (Courier)'!$E$2,K123="d",'Rates (Courier)'!$G$2,K123="e",'Rates (Courier)'!$I$2)</f>
        <v>33</v>
      </c>
      <c r="M123" s="24">
        <f>ifs(K123="a",'Rates (Courier)'!$B$2,K123="b",'Rates (Courier)'!$D$2,K123="c",'Rates (Courier)'!$F$2,K123="d",'Rates (Courier)'!$H$2,K123="e",'Rates (Courier)'!$J$2)</f>
        <v>28.3</v>
      </c>
      <c r="N123" s="24">
        <f>ifs(K123="a",'Rates (Courier)'!$K$2,K123="b",'Rates (Courier)'!$M$2,K123="c",'Rates (Courier)'!$O$2,K123="d",'Rates (Courier)'!$Q$2,K123="e",'Rates (Courier)'!$S$2)</f>
        <v>20.5</v>
      </c>
      <c r="O123" s="24">
        <f>ifs(K123="a",'Rates (Courier)'!$L$2,K123="b",'Rates (Courier)'!$N$2,K123="c",'Rates (Courier)'!$P$2,K123="d",'Rates (Courier)'!$R$2,K123="e",'Rates (Courier)'!$T$2)</f>
        <v>28.3</v>
      </c>
      <c r="P123" s="26">
        <f t="shared" si="6"/>
        <v>61.3</v>
      </c>
      <c r="Q123" s="23">
        <f>VLOOKUP(B123,'Invoice (Courier)'!$A$1:$C$125,3,FALSE)</f>
        <v>0.5</v>
      </c>
      <c r="R123" s="27">
        <f t="shared" si="7"/>
        <v>0.5</v>
      </c>
      <c r="S123" s="28" t="str">
        <f>VLOOKUP(B123,'Invoice (Courier)'!$A$1:$F$125,match('Invoice (Courier)'!$F$1,'Invoice (Courier)'!$A$1:$F$1,FALSE),FALSE)</f>
        <v>d</v>
      </c>
      <c r="T123" s="26">
        <f>ROUND((VLOOKUP(B123,'Invoice (Courier)'!$A$1:$H$125,match('Invoice (Courier)'!$H$1,'Invoice (Courier)'!$A$1:$H$1,FALSE),FALSE)),20)</f>
        <v>45.4</v>
      </c>
      <c r="U123" s="26">
        <f t="shared" si="8"/>
        <v>15.9</v>
      </c>
      <c r="V123" s="24">
        <f t="shared" si="9"/>
        <v>-35.02202643</v>
      </c>
      <c r="W123" s="24">
        <f t="shared" si="10"/>
        <v>81.73333333</v>
      </c>
      <c r="X123" s="24">
        <f t="shared" si="11"/>
        <v>0</v>
      </c>
    </row>
    <row r="124">
      <c r="A124" s="22" t="s">
        <v>19</v>
      </c>
      <c r="B124" s="22" t="s">
        <v>385</v>
      </c>
      <c r="C124" s="23">
        <v>517128.0</v>
      </c>
      <c r="D124" s="22" t="s">
        <v>253</v>
      </c>
      <c r="E124" s="24">
        <f t="shared" si="1"/>
        <v>179.8</v>
      </c>
      <c r="F124" s="24">
        <f t="shared" si="2"/>
        <v>175.7</v>
      </c>
      <c r="G124" s="23">
        <f t="shared" si="3"/>
        <v>1.557</v>
      </c>
      <c r="H124" s="24">
        <f>VLOOKUP(A124,'Order Report(X)'!$H$1:$I$125,2,FALSE)</f>
        <v>1557</v>
      </c>
      <c r="I124" s="24">
        <f t="shared" si="4"/>
        <v>2</v>
      </c>
      <c r="J124" s="24">
        <f t="shared" si="5"/>
        <v>2000</v>
      </c>
      <c r="K124" s="25" t="str">
        <f>vlookup(C124,'Pincode Zone (X)'!$G$1:$H$109,2,false)</f>
        <v>d</v>
      </c>
      <c r="L124" s="24">
        <f>ifs(K124="a",'Rates (Courier)'!$A$2,K124="b",'Rates (Courier)'!$C$2,K124="c",'Rates (Courier)'!$E$2,K124="d",'Rates (Courier)'!$G$2,K124="e",'Rates (Courier)'!$I$2)</f>
        <v>45.4</v>
      </c>
      <c r="M124" s="24">
        <f>ifs(K124="a",'Rates (Courier)'!$B$2,K124="b",'Rates (Courier)'!$D$2,K124="c",'Rates (Courier)'!$F$2,K124="d",'Rates (Courier)'!$H$2,K124="e",'Rates (Courier)'!$J$2)</f>
        <v>44.8</v>
      </c>
      <c r="N124" s="24">
        <f>ifs(K124="a",'Rates (Courier)'!$K$2,K124="b",'Rates (Courier)'!$M$2,K124="c",'Rates (Courier)'!$O$2,K124="d",'Rates (Courier)'!$Q$2,K124="e",'Rates (Courier)'!$S$2)</f>
        <v>41.3</v>
      </c>
      <c r="O124" s="24">
        <f>ifs(K124="a",'Rates (Courier)'!$L$2,K124="b",'Rates (Courier)'!$N$2,K124="c",'Rates (Courier)'!$P$2,K124="d",'Rates (Courier)'!$R$2,K124="e",'Rates (Courier)'!$T$2)</f>
        <v>44.8</v>
      </c>
      <c r="P124" s="26">
        <f t="shared" si="6"/>
        <v>355.5</v>
      </c>
      <c r="Q124" s="23">
        <f>VLOOKUP(B124,'Invoice (Courier)'!$A$1:$C$125,3,FALSE)</f>
        <v>1.6</v>
      </c>
      <c r="R124" s="27">
        <f t="shared" si="7"/>
        <v>2</v>
      </c>
      <c r="S124" s="28" t="str">
        <f>VLOOKUP(B124,'Invoice (Courier)'!$A$1:$F$125,match('Invoice (Courier)'!$F$1,'Invoice (Courier)'!$A$1:$F$1,FALSE),FALSE)</f>
        <v>d</v>
      </c>
      <c r="T124" s="26">
        <f>ROUND((VLOOKUP(B124,'Invoice (Courier)'!$A$1:$H$125,match('Invoice (Courier)'!$H$1,'Invoice (Courier)'!$A$1:$H$1,FALSE),FALSE)),20)</f>
        <v>345</v>
      </c>
      <c r="U124" s="26">
        <f t="shared" si="8"/>
        <v>10.5</v>
      </c>
      <c r="V124" s="24">
        <f t="shared" si="9"/>
        <v>-3.043478261</v>
      </c>
      <c r="W124" s="24">
        <f t="shared" si="10"/>
        <v>115.4784843</v>
      </c>
      <c r="X124" s="24">
        <f t="shared" si="11"/>
        <v>112.8452152</v>
      </c>
    </row>
    <row r="125">
      <c r="A125" s="22" t="s">
        <v>6</v>
      </c>
      <c r="B125" s="22" t="s">
        <v>387</v>
      </c>
      <c r="C125" s="23">
        <v>173213.0</v>
      </c>
      <c r="D125" s="22" t="s">
        <v>157</v>
      </c>
      <c r="E125" s="24">
        <f t="shared" si="1"/>
        <v>223.1</v>
      </c>
      <c r="F125" s="24">
        <f t="shared" si="2"/>
        <v>0</v>
      </c>
      <c r="G125" s="23">
        <f t="shared" si="3"/>
        <v>1.676</v>
      </c>
      <c r="H125" s="24">
        <f>VLOOKUP(A125,'Order Report(X)'!$H$1:$I$125,2,FALSE)</f>
        <v>1676</v>
      </c>
      <c r="I125" s="24">
        <f t="shared" si="4"/>
        <v>2</v>
      </c>
      <c r="J125" s="24">
        <f t="shared" si="5"/>
        <v>2000</v>
      </c>
      <c r="K125" s="25" t="str">
        <f>vlookup(C125,'Pincode Zone (X)'!$G$1:$H$109,2,false)</f>
        <v>e</v>
      </c>
      <c r="L125" s="24">
        <f>ifs(K125="a",'Rates (Courier)'!$A$2,K125="b",'Rates (Courier)'!$C$2,K125="c",'Rates (Courier)'!$E$2,K125="d",'Rates (Courier)'!$G$2,K125="e",'Rates (Courier)'!$I$2)</f>
        <v>56.6</v>
      </c>
      <c r="M125" s="24">
        <f>ifs(K125="a",'Rates (Courier)'!$B$2,K125="b",'Rates (Courier)'!$D$2,K125="c",'Rates (Courier)'!$F$2,K125="d",'Rates (Courier)'!$H$2,K125="e",'Rates (Courier)'!$J$2)</f>
        <v>55.5</v>
      </c>
      <c r="N125" s="24">
        <f>ifs(K125="a",'Rates (Courier)'!$K$2,K125="b",'Rates (Courier)'!$M$2,K125="c",'Rates (Courier)'!$O$2,K125="d",'Rates (Courier)'!$Q$2,K125="e",'Rates (Courier)'!$S$2)</f>
        <v>50.7</v>
      </c>
      <c r="O125" s="24">
        <f>ifs(K125="a",'Rates (Courier)'!$L$2,K125="b",'Rates (Courier)'!$N$2,K125="c",'Rates (Courier)'!$P$2,K125="d",'Rates (Courier)'!$R$2,K125="e",'Rates (Courier)'!$T$2)</f>
        <v>55.5</v>
      </c>
      <c r="P125" s="26">
        <f t="shared" si="6"/>
        <v>223.1</v>
      </c>
      <c r="Q125" s="23">
        <f>VLOOKUP(B125,'Invoice (Courier)'!$A$1:$C$125,3,FALSE)</f>
        <v>1.6</v>
      </c>
      <c r="R125" s="27">
        <f t="shared" si="7"/>
        <v>2</v>
      </c>
      <c r="S125" s="28" t="str">
        <f>VLOOKUP(B125,'Invoice (Courier)'!$A$1:$F$125,match('Invoice (Courier)'!$F$1,'Invoice (Courier)'!$A$1:$F$1,FALSE),FALSE)</f>
        <v>b</v>
      </c>
      <c r="T125" s="26">
        <f>ROUND((VLOOKUP(B125,'Invoice (Courier)'!$A$1:$H$125,match('Invoice (Courier)'!$H$1,'Invoice (Courier)'!$A$1:$H$1,FALSE),FALSE)),20)</f>
        <v>117.9</v>
      </c>
      <c r="U125" s="26">
        <f t="shared" si="8"/>
        <v>105.2</v>
      </c>
      <c r="V125" s="24">
        <f t="shared" si="9"/>
        <v>-89.22815946</v>
      </c>
      <c r="W125" s="24">
        <f t="shared" si="10"/>
        <v>133.1145585</v>
      </c>
      <c r="X125" s="24">
        <f t="shared" si="1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2.71"/>
  </cols>
  <sheetData>
    <row r="1">
      <c r="A1" s="29"/>
      <c r="B1" s="30" t="s">
        <v>431</v>
      </c>
      <c r="C1" s="30" t="s">
        <v>432</v>
      </c>
    </row>
    <row r="2">
      <c r="A2" s="30" t="s">
        <v>433</v>
      </c>
      <c r="B2" s="31">
        <f>Countif('charge status (Rough work)'!A2:A125,"correct charge")</f>
        <v>22</v>
      </c>
      <c r="C2" s="31">
        <f>sumif('charge status (Rough work)'!A2:A125,"correct charge",Calculations!P2:P125)</f>
        <v>1826.9</v>
      </c>
    </row>
    <row r="3">
      <c r="A3" s="30" t="s">
        <v>434</v>
      </c>
      <c r="B3" s="31">
        <f>countif('charge status (Rough work)'!A2:A125,"Over charged")</f>
        <v>79</v>
      </c>
      <c r="C3" s="31">
        <f>sumif('charge status (Rough work)'!A2:A125,"Over charged",Calculations!U2:U125)</f>
        <v>-4426.6</v>
      </c>
    </row>
    <row r="4">
      <c r="A4" s="30" t="s">
        <v>435</v>
      </c>
      <c r="B4" s="30">
        <f>countif('charge status (Rough work)'!A2:A125,"Under charged")</f>
        <v>23</v>
      </c>
      <c r="C4" s="29">
        <f>sumif('charge status (Rough work)'!A2:A125,"Under charged",Calculations!U2:U125)</f>
        <v>575.1</v>
      </c>
    </row>
  </sheetData>
  <drawing r:id="rId1"/>
</worksheet>
</file>