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F521EEF8-E485-410C-96A4-5F471512CC43}" xr6:coauthVersionLast="46" xr6:coauthVersionMax="46" xr10:uidLastSave="{00000000-0000-0000-0000-000000000000}"/>
  <bookViews>
    <workbookView xWindow="19090" yWindow="-110" windowWidth="19420" windowHeight="10560" activeTab="2" xr2:uid="{54CCD936-291F-4B28-8A4D-9D8B23ECACD9}"/>
  </bookViews>
  <sheets>
    <sheet name="76-77.77-78" sheetId="5" r:id="rId1"/>
    <sheet name="77.78" sheetId="6" r:id="rId2"/>
    <sheet name="76.77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6" l="1"/>
  <c r="O7" i="6"/>
  <c r="I32" i="5"/>
  <c r="C15" i="6"/>
  <c r="K15" i="6" l="1"/>
  <c r="K14" i="6"/>
  <c r="K13" i="6"/>
  <c r="F14" i="6"/>
  <c r="G14" i="6" s="1"/>
  <c r="F15" i="6"/>
  <c r="G15" i="6" s="1"/>
  <c r="E16" i="6"/>
  <c r="H16" i="6"/>
  <c r="I16" i="6"/>
  <c r="K16" i="6"/>
  <c r="J17" i="6"/>
  <c r="D16" i="6"/>
  <c r="E11" i="6"/>
  <c r="G27" i="5"/>
  <c r="K27" i="5"/>
  <c r="F27" i="5"/>
  <c r="H26" i="5"/>
  <c r="I26" i="5" s="1"/>
  <c r="L26" i="5" s="1"/>
  <c r="E27" i="5"/>
  <c r="O15" i="6" l="1"/>
  <c r="L15" i="6"/>
  <c r="M15" i="6" s="1"/>
  <c r="N15" i="6"/>
  <c r="L14" i="6"/>
  <c r="M14" i="6" s="1"/>
  <c r="N14" i="6"/>
  <c r="O14" i="6"/>
  <c r="J25" i="5"/>
  <c r="H25" i="5"/>
  <c r="I25" i="5" s="1"/>
  <c r="L25" i="5" s="1"/>
  <c r="F13" i="6"/>
  <c r="G13" i="6" s="1"/>
  <c r="L13" i="6" l="1"/>
  <c r="L16" i="6" s="1"/>
  <c r="G16" i="6"/>
  <c r="N13" i="6"/>
  <c r="N16" i="6" s="1"/>
  <c r="O5" i="4"/>
  <c r="L8" i="5"/>
  <c r="L18" i="5"/>
  <c r="J23" i="5"/>
  <c r="J24" i="5"/>
  <c r="J22" i="5"/>
  <c r="J21" i="5"/>
  <c r="J20" i="5"/>
  <c r="J19" i="5"/>
  <c r="J27" i="5" s="1"/>
  <c r="H20" i="5"/>
  <c r="I20" i="5" s="1"/>
  <c r="L20" i="5" s="1"/>
  <c r="H21" i="5"/>
  <c r="I21" i="5" s="1"/>
  <c r="L21" i="5" s="1"/>
  <c r="H22" i="5"/>
  <c r="I22" i="5" s="1"/>
  <c r="H23" i="5"/>
  <c r="I23" i="5" s="1"/>
  <c r="L23" i="5" s="1"/>
  <c r="H24" i="5"/>
  <c r="I24" i="5" s="1"/>
  <c r="L24" i="5" s="1"/>
  <c r="H19" i="5"/>
  <c r="I12" i="6"/>
  <c r="E12" i="6"/>
  <c r="D12" i="6"/>
  <c r="K11" i="6"/>
  <c r="F11" i="6"/>
  <c r="K10" i="6"/>
  <c r="F10" i="6"/>
  <c r="G10" i="6" s="1"/>
  <c r="K9" i="6"/>
  <c r="F9" i="6"/>
  <c r="H9" i="6" s="1"/>
  <c r="I8" i="6"/>
  <c r="I17" i="6" s="1"/>
  <c r="E8" i="6"/>
  <c r="E17" i="6" s="1"/>
  <c r="D8" i="6"/>
  <c r="K7" i="6"/>
  <c r="F7" i="6"/>
  <c r="C7" i="6"/>
  <c r="K6" i="6"/>
  <c r="F6" i="6"/>
  <c r="C6" i="6"/>
  <c r="A6" i="6"/>
  <c r="A7" i="6" s="1"/>
  <c r="A9" i="6" s="1"/>
  <c r="A10" i="6" s="1"/>
  <c r="A11" i="6" s="1"/>
  <c r="K5" i="6"/>
  <c r="F5" i="6"/>
  <c r="C5" i="6"/>
  <c r="H27" i="5" l="1"/>
  <c r="O13" i="6"/>
  <c r="O16" i="6" s="1"/>
  <c r="M13" i="6"/>
  <c r="M16" i="6" s="1"/>
  <c r="G11" i="6"/>
  <c r="H11" i="6"/>
  <c r="L22" i="5"/>
  <c r="D17" i="6"/>
  <c r="I19" i="5"/>
  <c r="H10" i="6"/>
  <c r="K8" i="6"/>
  <c r="H5" i="6"/>
  <c r="G5" i="6"/>
  <c r="G9" i="6"/>
  <c r="G7" i="6"/>
  <c r="H7" i="6"/>
  <c r="N10" i="6"/>
  <c r="G6" i="6"/>
  <c r="H6" i="6"/>
  <c r="K12" i="6"/>
  <c r="K17" i="6" l="1"/>
  <c r="N11" i="6"/>
  <c r="L11" i="6"/>
  <c r="M11" i="6" s="1"/>
  <c r="L19" i="5"/>
  <c r="I27" i="5"/>
  <c r="H12" i="6"/>
  <c r="L10" i="6"/>
  <c r="O10" i="6" s="1"/>
  <c r="O11" i="6"/>
  <c r="G12" i="6"/>
  <c r="L9" i="6"/>
  <c r="N9" i="6"/>
  <c r="N12" i="6" s="1"/>
  <c r="L5" i="6"/>
  <c r="O5" i="6" s="1"/>
  <c r="N5" i="6"/>
  <c r="G8" i="6"/>
  <c r="G17" i="6" s="1"/>
  <c r="L6" i="6"/>
  <c r="N6" i="6"/>
  <c r="H8" i="6"/>
  <c r="L7" i="6"/>
  <c r="M10" i="6" l="1"/>
  <c r="H17" i="6"/>
  <c r="O6" i="6"/>
  <c r="M6" i="6"/>
  <c r="N8" i="6"/>
  <c r="N17" i="6" s="1"/>
  <c r="M7" i="6"/>
  <c r="L8" i="6"/>
  <c r="L17" i="6" s="1"/>
  <c r="M5" i="6"/>
  <c r="L12" i="6"/>
  <c r="M9" i="6"/>
  <c r="O9" i="6"/>
  <c r="O12" i="6" s="1"/>
  <c r="M12" i="6" l="1"/>
  <c r="M8" i="6"/>
  <c r="O8" i="6"/>
  <c r="O17" i="6" s="1"/>
  <c r="M17" i="6" l="1"/>
  <c r="L17" i="5"/>
  <c r="L16" i="5"/>
  <c r="L9" i="5"/>
  <c r="L7" i="5"/>
  <c r="E29" i="4"/>
  <c r="C29" i="4"/>
  <c r="G29" i="4" s="1"/>
  <c r="H29" i="4" s="1"/>
  <c r="C28" i="4"/>
  <c r="I20" i="4"/>
  <c r="E20" i="4"/>
  <c r="D20" i="4"/>
  <c r="P19" i="4"/>
  <c r="O19" i="4"/>
  <c r="U19" i="4" s="1"/>
  <c r="K19" i="4"/>
  <c r="H19" i="4"/>
  <c r="G19" i="4"/>
  <c r="P18" i="4"/>
  <c r="O18" i="4"/>
  <c r="U18" i="4" s="1"/>
  <c r="K18" i="4"/>
  <c r="Q18" i="4" s="1"/>
  <c r="H18" i="4"/>
  <c r="G18" i="4"/>
  <c r="P17" i="4"/>
  <c r="O17" i="4"/>
  <c r="K17" i="4"/>
  <c r="K20" i="4" s="1"/>
  <c r="H17" i="4"/>
  <c r="H20" i="4" s="1"/>
  <c r="G17" i="4"/>
  <c r="O16" i="4"/>
  <c r="I16" i="4"/>
  <c r="G16" i="4"/>
  <c r="E16" i="4"/>
  <c r="D16" i="4"/>
  <c r="U15" i="4"/>
  <c r="O15" i="4"/>
  <c r="K15" i="4"/>
  <c r="L15" i="4" s="1"/>
  <c r="M15" i="4" s="1"/>
  <c r="V15" i="4" s="1"/>
  <c r="G15" i="4"/>
  <c r="P14" i="4"/>
  <c r="O14" i="4"/>
  <c r="Q14" i="4" s="1"/>
  <c r="K14" i="4"/>
  <c r="H14" i="4"/>
  <c r="L14" i="4" s="1"/>
  <c r="M14" i="4" s="1"/>
  <c r="V14" i="4" s="1"/>
  <c r="G14" i="4"/>
  <c r="U13" i="4"/>
  <c r="P13" i="4"/>
  <c r="P16" i="4" s="1"/>
  <c r="O13" i="4"/>
  <c r="K13" i="4"/>
  <c r="H13" i="4"/>
  <c r="H16" i="4" s="1"/>
  <c r="G13" i="4"/>
  <c r="I12" i="4"/>
  <c r="E12" i="4"/>
  <c r="P11" i="4"/>
  <c r="O11" i="4"/>
  <c r="K11" i="4"/>
  <c r="H11" i="4"/>
  <c r="D12" i="4"/>
  <c r="P10" i="4"/>
  <c r="K10" i="4"/>
  <c r="K12" i="4" s="1"/>
  <c r="H10" i="4"/>
  <c r="G10" i="4"/>
  <c r="L10" i="4" s="1"/>
  <c r="M10" i="4" s="1"/>
  <c r="V10" i="4" s="1"/>
  <c r="P9" i="4"/>
  <c r="O9" i="4"/>
  <c r="K9" i="4"/>
  <c r="H9" i="4"/>
  <c r="G9" i="4"/>
  <c r="K8" i="4"/>
  <c r="I8" i="4"/>
  <c r="D8" i="4"/>
  <c r="D21" i="4" s="1"/>
  <c r="P7" i="4"/>
  <c r="O7" i="4"/>
  <c r="K7" i="4"/>
  <c r="H7" i="4"/>
  <c r="G7" i="4"/>
  <c r="C7" i="4"/>
  <c r="O6" i="4"/>
  <c r="K6" i="4"/>
  <c r="G6" i="4"/>
  <c r="E6" i="4"/>
  <c r="H6" i="4" s="1"/>
  <c r="L6" i="4" s="1"/>
  <c r="M6" i="4" s="1"/>
  <c r="V6" i="4" s="1"/>
  <c r="A6" i="4"/>
  <c r="A7" i="4" s="1"/>
  <c r="A9" i="4" s="1"/>
  <c r="A10" i="4" s="1"/>
  <c r="A11" i="4" s="1"/>
  <c r="A13" i="4" s="1"/>
  <c r="A14" i="4" s="1"/>
  <c r="A15" i="4" s="1"/>
  <c r="A17" i="4" s="1"/>
  <c r="A18" i="4" s="1"/>
  <c r="U5" i="4"/>
  <c r="P5" i="4"/>
  <c r="K5" i="4"/>
  <c r="H5" i="4"/>
  <c r="G5" i="4"/>
  <c r="C5" i="4"/>
  <c r="I21" i="4" l="1"/>
  <c r="L18" i="4"/>
  <c r="M18" i="4" s="1"/>
  <c r="V18" i="4" s="1"/>
  <c r="G20" i="4"/>
  <c r="Q19" i="4"/>
  <c r="R19" i="4" s="1"/>
  <c r="T19" i="4" s="1"/>
  <c r="L7" i="4"/>
  <c r="M7" i="4" s="1"/>
  <c r="V7" i="4" s="1"/>
  <c r="L13" i="4"/>
  <c r="M13" i="4" s="1"/>
  <c r="H8" i="4"/>
  <c r="H12" i="4"/>
  <c r="L27" i="5"/>
  <c r="L17" i="4"/>
  <c r="L20" i="4" s="1"/>
  <c r="Q7" i="4"/>
  <c r="Q13" i="4"/>
  <c r="R13" i="4" s="1"/>
  <c r="Q17" i="4"/>
  <c r="L19" i="4"/>
  <c r="M19" i="4" s="1"/>
  <c r="V19" i="4" s="1"/>
  <c r="K16" i="4"/>
  <c r="K21" i="4" s="1"/>
  <c r="Q11" i="4"/>
  <c r="P20" i="4"/>
  <c r="L9" i="4"/>
  <c r="C30" i="4"/>
  <c r="G28" i="4"/>
  <c r="G30" i="4" s="1"/>
  <c r="E28" i="4"/>
  <c r="G8" i="4"/>
  <c r="L5" i="4"/>
  <c r="Q20" i="4"/>
  <c r="R17" i="4"/>
  <c r="H21" i="4"/>
  <c r="R7" i="4"/>
  <c r="T7" i="4" s="1"/>
  <c r="U11" i="4"/>
  <c r="Q9" i="4"/>
  <c r="G11" i="4"/>
  <c r="L11" i="4" s="1"/>
  <c r="M11" i="4" s="1"/>
  <c r="V11" i="4" s="1"/>
  <c r="R18" i="4"/>
  <c r="T18" i="4" s="1"/>
  <c r="Q5" i="4"/>
  <c r="O8" i="4"/>
  <c r="U7" i="4"/>
  <c r="P12" i="4"/>
  <c r="Q15" i="4"/>
  <c r="P8" i="4"/>
  <c r="P21" i="4" s="1"/>
  <c r="U9" i="4"/>
  <c r="R14" i="4"/>
  <c r="U14" i="4"/>
  <c r="U16" i="4" s="1"/>
  <c r="U17" i="4"/>
  <c r="U20" i="4" s="1"/>
  <c r="O10" i="4"/>
  <c r="O20" i="4"/>
  <c r="P6" i="4"/>
  <c r="Q6" i="4" s="1"/>
  <c r="U6" i="4"/>
  <c r="E8" i="4"/>
  <c r="E21" i="4" s="1"/>
  <c r="L16" i="4" l="1"/>
  <c r="M17" i="4"/>
  <c r="U8" i="4"/>
  <c r="M9" i="4"/>
  <c r="L12" i="4"/>
  <c r="Q10" i="4"/>
  <c r="Q12" i="4" s="1"/>
  <c r="U10" i="4"/>
  <c r="U12" i="4" s="1"/>
  <c r="U21" i="4" s="1"/>
  <c r="R15" i="4"/>
  <c r="T15" i="4" s="1"/>
  <c r="S15" i="4"/>
  <c r="O12" i="4"/>
  <c r="M16" i="4"/>
  <c r="V13" i="4"/>
  <c r="V16" i="4" s="1"/>
  <c r="G12" i="4"/>
  <c r="G21" i="4" s="1"/>
  <c r="Q16" i="4"/>
  <c r="R5" i="4"/>
  <c r="Q8" i="4"/>
  <c r="R9" i="4"/>
  <c r="S9" i="4" s="1"/>
  <c r="S7" i="4"/>
  <c r="R6" i="4"/>
  <c r="T6" i="4" s="1"/>
  <c r="V17" i="4"/>
  <c r="V20" i="4" s="1"/>
  <c r="M20" i="4"/>
  <c r="T13" i="4"/>
  <c r="T16" i="4" s="1"/>
  <c r="R16" i="4"/>
  <c r="M5" i="4"/>
  <c r="L8" i="4"/>
  <c r="T14" i="4"/>
  <c r="S14" i="4"/>
  <c r="S13" i="4"/>
  <c r="S16" i="4" s="1"/>
  <c r="S18" i="4"/>
  <c r="S19" i="4"/>
  <c r="T17" i="4"/>
  <c r="T20" i="4" s="1"/>
  <c r="R20" i="4"/>
  <c r="R11" i="4"/>
  <c r="S17" i="4"/>
  <c r="E30" i="4"/>
  <c r="H28" i="4"/>
  <c r="H30" i="4" s="1"/>
  <c r="S6" i="4" l="1"/>
  <c r="S20" i="4"/>
  <c r="O22" i="4"/>
  <c r="O21" i="4"/>
  <c r="M8" i="4"/>
  <c r="V5" i="4"/>
  <c r="V8" i="4" s="1"/>
  <c r="T5" i="4"/>
  <c r="T8" i="4" s="1"/>
  <c r="R8" i="4"/>
  <c r="S5" i="4"/>
  <c r="S8" i="4" s="1"/>
  <c r="M12" i="4"/>
  <c r="V9" i="4"/>
  <c r="V12" i="4" s="1"/>
  <c r="T11" i="4"/>
  <c r="S11" i="4"/>
  <c r="T9" i="4"/>
  <c r="R12" i="4"/>
  <c r="L21" i="4"/>
  <c r="Q21" i="4"/>
  <c r="R10" i="4"/>
  <c r="T10" i="4" s="1"/>
  <c r="M21" i="4" l="1"/>
  <c r="V21" i="4"/>
  <c r="T12" i="4"/>
  <c r="T21" i="4" s="1"/>
  <c r="R21" i="4"/>
  <c r="S10" i="4"/>
  <c r="S12" i="4" s="1"/>
  <c r="S21" i="4" s="1"/>
</calcChain>
</file>

<file path=xl/sharedStrings.xml><?xml version="1.0" encoding="utf-8"?>
<sst xmlns="http://schemas.openxmlformats.org/spreadsheetml/2006/main" count="132" uniqueCount="93">
  <si>
    <t>Ankhukhola Jalabidhyut Company Limited</t>
  </si>
  <si>
    <t>Ankhukhola-1 Hydro Project 8.4 MW</t>
  </si>
  <si>
    <t>Details of Revenue for the FY 2076.77</t>
  </si>
  <si>
    <t>S.No</t>
  </si>
  <si>
    <t>Month</t>
  </si>
  <si>
    <t>Contract Energy(KWh)</t>
  </si>
  <si>
    <t>Metered Energy(KWh)</t>
  </si>
  <si>
    <t>unserved Penalty Energy(KWh)</t>
  </si>
  <si>
    <t>Old Rate (Rs/KWh)</t>
  </si>
  <si>
    <t>Old Amount(Rs)</t>
  </si>
  <si>
    <t>Old penalty(Rs)</t>
  </si>
  <si>
    <t>Back Feed Energy</t>
  </si>
  <si>
    <t>Back Feed rate</t>
  </si>
  <si>
    <t>Back Feed Amount to be booked</t>
  </si>
  <si>
    <t>Receivable Amount</t>
  </si>
  <si>
    <t>Paid Amount(Rs) to be booked</t>
  </si>
  <si>
    <t>New Rate (Rs/KWh)</t>
  </si>
  <si>
    <t>NewAmount(Rs) Revenue to be booked</t>
  </si>
  <si>
    <t>New penalty(Rs)</t>
  </si>
  <si>
    <t>To be paid amount(Rs)</t>
  </si>
  <si>
    <t>Difference Amount(Rs)</t>
  </si>
  <si>
    <t>Normal Receivable to be Booked</t>
  </si>
  <si>
    <t>Posted Rate Receivable to be booked</t>
  </si>
  <si>
    <t>Royalty to be booked</t>
  </si>
  <si>
    <t>Royalty To Be Paid to DOED</t>
  </si>
  <si>
    <t>Shrawan</t>
  </si>
  <si>
    <t>Bhadra</t>
  </si>
  <si>
    <t>Ashwin</t>
  </si>
  <si>
    <t>1st Quarter</t>
  </si>
  <si>
    <t>Kartik</t>
  </si>
  <si>
    <t>Mangsir</t>
  </si>
  <si>
    <t>Poush</t>
  </si>
  <si>
    <t>2nd Quarter</t>
  </si>
  <si>
    <t>Magh</t>
  </si>
  <si>
    <t>Falgun</t>
  </si>
  <si>
    <t>Chaitra</t>
  </si>
  <si>
    <t>3rd Quarter</t>
  </si>
  <si>
    <t>Baisakh</t>
  </si>
  <si>
    <t>Jestha</t>
  </si>
  <si>
    <t>Ashadh</t>
  </si>
  <si>
    <t>4th Quarter</t>
  </si>
  <si>
    <t>Grand Total</t>
  </si>
  <si>
    <t>Outage Claimed reversed</t>
  </si>
  <si>
    <t>S.NO</t>
  </si>
  <si>
    <t>Outage Energy(KWh)</t>
  </si>
  <si>
    <t>New Amount</t>
  </si>
  <si>
    <t>Old Amount</t>
  </si>
  <si>
    <t>Posted</t>
  </si>
  <si>
    <t>Total</t>
  </si>
  <si>
    <t>S.No.</t>
  </si>
  <si>
    <t xml:space="preserve">Month </t>
  </si>
  <si>
    <t>Days Plant Operated</t>
  </si>
  <si>
    <t>Availability Decleration ( KWhr)</t>
  </si>
  <si>
    <t>Gross Units Generated (KWhr)</t>
  </si>
  <si>
    <t>Auxiliary Consumption ( KWhr)</t>
  </si>
  <si>
    <t>Transmission Losses(KWhr)</t>
  </si>
  <si>
    <t>Net Energy Supplied to NEA(KWhr)</t>
  </si>
  <si>
    <t>Tariff Rate (NPR)</t>
  </si>
  <si>
    <t>Penalty (NPR)</t>
  </si>
  <si>
    <t>Billed Amount (NPR)</t>
  </si>
  <si>
    <t>Remarks on penalty</t>
  </si>
  <si>
    <t>Short Supply energy</t>
  </si>
  <si>
    <t>Shrawan 2076</t>
  </si>
  <si>
    <t>Bhadra 2076</t>
  </si>
  <si>
    <t>Ashwin 2076</t>
  </si>
  <si>
    <t>Kartik 2076</t>
  </si>
  <si>
    <t>Mangsir 2076</t>
  </si>
  <si>
    <t>Poush 2076</t>
  </si>
  <si>
    <t>Magh 2076</t>
  </si>
  <si>
    <t>Falgun 2076</t>
  </si>
  <si>
    <t>Chaitra 2076</t>
  </si>
  <si>
    <t>Baisakh 2077</t>
  </si>
  <si>
    <t>Jestha 2077</t>
  </si>
  <si>
    <t>Ashadh 2077</t>
  </si>
  <si>
    <t>Details of Revenue for the FY 2077.78</t>
  </si>
  <si>
    <t>Old penalty (Rs)</t>
  </si>
  <si>
    <t>Shrawan 2077</t>
  </si>
  <si>
    <t>Bhadra 2077</t>
  </si>
  <si>
    <t>Ashwin 2077</t>
  </si>
  <si>
    <t>Kartik2077</t>
  </si>
  <si>
    <t>Mangsir 2077</t>
  </si>
  <si>
    <t>Poush 2077</t>
  </si>
  <si>
    <t>Magh2077</t>
  </si>
  <si>
    <t>Falgun 2077</t>
  </si>
  <si>
    <t>Monthy Generation Data For FY 2076/2077 &amp; FY 2077/2078(Till Falgun)</t>
  </si>
  <si>
    <t>Q. How is transmission loss calculated?</t>
  </si>
  <si>
    <t>Q. How many increments already taken? (8 increments)</t>
  </si>
  <si>
    <t>Q. Availability declaration (sheet 1) vs contract energy (sheet 2)</t>
  </si>
  <si>
    <t>Q. Back feed Energy?</t>
  </si>
  <si>
    <t>Q. Back Feed Rate?</t>
  </si>
  <si>
    <t>(price after 8 3% increments)</t>
  </si>
  <si>
    <t>Q. Outage claimed reversed meaning</t>
  </si>
  <si>
    <t>energy used by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</si>
</sst>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3">
    <xf numFmtId="0" fontId="0" fillId="0" borderId="0" xfId="0"/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164" fontId="4" fillId="0" borderId="5" xfId="1" applyFont="1" applyBorder="1" applyAlignment="1">
      <alignment vertical="center" wrapText="1"/>
    </xf>
    <xf numFmtId="165" fontId="4" fillId="0" borderId="5" xfId="1" applyNumberFormat="1" applyFont="1" applyBorder="1" applyAlignment="1">
      <alignment vertical="center" wrapText="1"/>
    </xf>
    <xf numFmtId="164" fontId="4" fillId="0" borderId="5" xfId="1" applyFont="1" applyBorder="1" applyAlignment="1">
      <alignment vertical="center"/>
    </xf>
    <xf numFmtId="164" fontId="4" fillId="0" borderId="5" xfId="1" applyFont="1" applyFill="1" applyBorder="1" applyAlignment="1">
      <alignment vertical="center" wrapText="1"/>
    </xf>
    <xf numFmtId="0" fontId="5" fillId="0" borderId="5" xfId="0" applyFont="1" applyBorder="1"/>
    <xf numFmtId="164" fontId="5" fillId="0" borderId="5" xfId="1" applyFont="1" applyBorder="1"/>
    <xf numFmtId="164" fontId="5" fillId="0" borderId="5" xfId="1" applyNumberFormat="1" applyFont="1" applyBorder="1"/>
    <xf numFmtId="164" fontId="5" fillId="0" borderId="5" xfId="1" applyFont="1" applyFill="1" applyBorder="1"/>
    <xf numFmtId="164" fontId="0" fillId="0" borderId="5" xfId="1" applyFont="1" applyFill="1" applyBorder="1"/>
    <xf numFmtId="164" fontId="0" fillId="0" borderId="5" xfId="1" applyFont="1" applyBorder="1"/>
    <xf numFmtId="0" fontId="4" fillId="0" borderId="5" xfId="0" applyFont="1" applyBorder="1"/>
    <xf numFmtId="164" fontId="2" fillId="0" borderId="5" xfId="1" applyFont="1" applyBorder="1"/>
    <xf numFmtId="164" fontId="2" fillId="0" borderId="5" xfId="0" applyNumberFormat="1" applyFont="1" applyBorder="1"/>
    <xf numFmtId="164" fontId="4" fillId="0" borderId="5" xfId="1" applyFont="1" applyBorder="1"/>
    <xf numFmtId="0" fontId="2" fillId="0" borderId="0" xfId="0" applyFont="1"/>
    <xf numFmtId="0" fontId="0" fillId="0" borderId="5" xfId="0" applyBorder="1"/>
    <xf numFmtId="0" fontId="5" fillId="0" borderId="5" xfId="0" applyFont="1" applyBorder="1" applyAlignment="1">
      <alignment vertical="center"/>
    </xf>
    <xf numFmtId="164" fontId="5" fillId="0" borderId="5" xfId="1" applyFont="1" applyBorder="1" applyAlignment="1">
      <alignment vertical="center"/>
    </xf>
    <xf numFmtId="164" fontId="0" fillId="0" borderId="0" xfId="1" applyFont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1" applyFont="1" applyBorder="1"/>
    <xf numFmtId="164" fontId="2" fillId="0" borderId="0" xfId="0" applyNumberFormat="1" applyFont="1" applyBorder="1"/>
    <xf numFmtId="0" fontId="3" fillId="0" borderId="0" xfId="0" applyFont="1" applyBorder="1" applyAlignment="1"/>
    <xf numFmtId="164" fontId="0" fillId="0" borderId="0" xfId="0" applyNumberFormat="1"/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64" fontId="2" fillId="0" borderId="5" xfId="1" applyFont="1" applyBorder="1" applyAlignment="1">
      <alignment vertical="center" wrapText="1"/>
    </xf>
    <xf numFmtId="164" fontId="2" fillId="0" borderId="5" xfId="0" applyNumberFormat="1" applyFont="1" applyBorder="1" applyAlignment="1">
      <alignment vertical="center"/>
    </xf>
    <xf numFmtId="165" fontId="2" fillId="0" borderId="5" xfId="1" applyNumberFormat="1" applyFont="1" applyBorder="1" applyAlignment="1">
      <alignment vertical="center" wrapText="1"/>
    </xf>
    <xf numFmtId="0" fontId="0" fillId="0" borderId="5" xfId="0" applyFont="1" applyBorder="1"/>
    <xf numFmtId="164" fontId="0" fillId="0" borderId="5" xfId="0" applyNumberFormat="1" applyFont="1" applyBorder="1"/>
    <xf numFmtId="164" fontId="0" fillId="0" borderId="5" xfId="1" applyNumberFormat="1" applyFont="1" applyBorder="1"/>
    <xf numFmtId="0" fontId="2" fillId="0" borderId="5" xfId="0" applyFont="1" applyBorder="1"/>
    <xf numFmtId="0" fontId="0" fillId="0" borderId="0" xfId="0" applyFont="1" applyBorder="1"/>
    <xf numFmtId="0" fontId="4" fillId="0" borderId="5" xfId="0" applyFont="1" applyBorder="1" applyAlignment="1">
      <alignment wrapText="1"/>
    </xf>
    <xf numFmtId="164" fontId="4" fillId="0" borderId="5" xfId="1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5" xfId="0" applyFont="1" applyFill="1" applyBorder="1" applyAlignment="1">
      <alignment vertical="center"/>
    </xf>
    <xf numFmtId="0" fontId="0" fillId="0" borderId="0" xfId="0" applyFill="1"/>
    <xf numFmtId="164" fontId="0" fillId="0" borderId="5" xfId="0" applyNumberFormat="1" applyFill="1" applyBorder="1"/>
    <xf numFmtId="164" fontId="2" fillId="0" borderId="5" xfId="0" applyNumberFormat="1" applyFont="1" applyFill="1" applyBorder="1"/>
    <xf numFmtId="164" fontId="4" fillId="0" borderId="5" xfId="1" applyFont="1" applyFill="1" applyBorder="1"/>
    <xf numFmtId="164" fontId="2" fillId="0" borderId="5" xfId="1" applyFont="1" applyFill="1" applyBorder="1"/>
    <xf numFmtId="0" fontId="2" fillId="0" borderId="0" xfId="0" applyFont="1" applyFill="1"/>
    <xf numFmtId="164" fontId="5" fillId="0" borderId="5" xfId="1" applyFont="1" applyFill="1" applyBorder="1" applyAlignment="1">
      <alignment vertical="center"/>
    </xf>
    <xf numFmtId="164" fontId="2" fillId="0" borderId="0" xfId="0" applyNumberFormat="1" applyFont="1" applyFill="1" applyBorder="1"/>
    <xf numFmtId="164" fontId="2" fillId="0" borderId="0" xfId="1" applyFont="1" applyFill="1" applyBorder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/>
    <xf numFmtId="164" fontId="0" fillId="0" borderId="0" xfId="1" applyFont="1" applyFill="1"/>
    <xf numFmtId="164" fontId="0" fillId="0" borderId="0" xfId="0" applyNumberFormat="1" applyFill="1"/>
    <xf numFmtId="164" fontId="2" fillId="0" borderId="0" xfId="1" applyFont="1" applyFill="1"/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164" fontId="6" fillId="0" borderId="5" xfId="1" applyFont="1" applyBorder="1" applyAlignment="1">
      <alignment vertical="center" wrapText="1"/>
    </xf>
    <xf numFmtId="165" fontId="6" fillId="0" borderId="5" xfId="1" applyNumberFormat="1" applyFont="1" applyBorder="1" applyAlignment="1">
      <alignment vertical="center" wrapText="1"/>
    </xf>
    <xf numFmtId="164" fontId="6" fillId="0" borderId="5" xfId="1" applyFont="1" applyBorder="1" applyAlignment="1">
      <alignment vertical="center"/>
    </xf>
    <xf numFmtId="164" fontId="6" fillId="0" borderId="5" xfId="1" applyFont="1" applyFill="1" applyBorder="1" applyAlignment="1">
      <alignment vertical="center" wrapText="1"/>
    </xf>
    <xf numFmtId="0" fontId="5" fillId="0" borderId="0" xfId="0" applyFont="1"/>
    <xf numFmtId="0" fontId="7" fillId="0" borderId="5" xfId="0" applyFont="1" applyBorder="1"/>
    <xf numFmtId="164" fontId="7" fillId="0" borderId="5" xfId="1" applyFont="1" applyBorder="1"/>
    <xf numFmtId="164" fontId="7" fillId="0" borderId="5" xfId="1" applyNumberFormat="1" applyFont="1" applyBorder="1"/>
    <xf numFmtId="164" fontId="7" fillId="0" borderId="5" xfId="1" applyFont="1" applyFill="1" applyBorder="1"/>
    <xf numFmtId="164" fontId="7" fillId="0" borderId="5" xfId="0" applyNumberFormat="1" applyFont="1" applyFill="1" applyBorder="1"/>
    <xf numFmtId="164" fontId="6" fillId="0" borderId="5" xfId="1" applyFont="1" applyBorder="1"/>
    <xf numFmtId="164" fontId="6" fillId="0" borderId="5" xfId="0" applyNumberFormat="1" applyFont="1" applyBorder="1"/>
    <xf numFmtId="164" fontId="6" fillId="0" borderId="5" xfId="0" applyNumberFormat="1" applyFont="1" applyFill="1" applyBorder="1"/>
    <xf numFmtId="164" fontId="6" fillId="0" borderId="5" xfId="1" applyFont="1" applyFill="1" applyBorder="1"/>
    <xf numFmtId="0" fontId="4" fillId="0" borderId="0" xfId="0" applyFont="1"/>
    <xf numFmtId="0" fontId="0" fillId="0" borderId="0" xfId="0" applyBorder="1"/>
    <xf numFmtId="164" fontId="0" fillId="0" borderId="0" xfId="1" applyFont="1" applyBorder="1"/>
    <xf numFmtId="0" fontId="2" fillId="0" borderId="0" xfId="0" applyFont="1" applyBorder="1" applyAlignment="1">
      <alignment vertical="center"/>
    </xf>
    <xf numFmtId="164" fontId="2" fillId="0" borderId="0" xfId="1" applyFont="1" applyBorder="1" applyAlignment="1">
      <alignment vertical="center" wrapText="1"/>
    </xf>
    <xf numFmtId="164" fontId="2" fillId="0" borderId="0" xfId="0" applyNumberFormat="1" applyFont="1" applyBorder="1" applyAlignment="1">
      <alignment vertical="center"/>
    </xf>
    <xf numFmtId="165" fontId="2" fillId="0" borderId="0" xfId="1" applyNumberFormat="1" applyFont="1" applyBorder="1" applyAlignment="1">
      <alignment vertical="center" wrapText="1"/>
    </xf>
    <xf numFmtId="164" fontId="0" fillId="0" borderId="0" xfId="0" applyNumberFormat="1" applyFont="1" applyBorder="1"/>
    <xf numFmtId="164" fontId="0" fillId="0" borderId="0" xfId="1" applyNumberFormat="1" applyFont="1" applyBorder="1"/>
    <xf numFmtId="0" fontId="2" fillId="0" borderId="0" xfId="0" applyFont="1" applyBorder="1"/>
    <xf numFmtId="164" fontId="0" fillId="0" borderId="0" xfId="0" applyNumberFormat="1" applyBorder="1"/>
    <xf numFmtId="0" fontId="6" fillId="0" borderId="5" xfId="0" applyFont="1" applyBorder="1" applyAlignment="1">
      <alignment horizontal="center"/>
    </xf>
    <xf numFmtId="0" fontId="4" fillId="0" borderId="5" xfId="0" applyFont="1" applyBorder="1" applyAlignment="1"/>
    <xf numFmtId="164" fontId="5" fillId="0" borderId="5" xfId="1" applyFont="1" applyBorder="1" applyAlignment="1">
      <alignment wrapText="1"/>
    </xf>
    <xf numFmtId="164" fontId="7" fillId="0" borderId="5" xfId="0" applyNumberFormat="1" applyFont="1" applyBorder="1"/>
    <xf numFmtId="0" fontId="0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3"/>
  <sheetViews>
    <sheetView zoomScale="130" zoomScaleNormal="130" workbookViewId="0">
      <selection activeCell="E14" sqref="E14"/>
    </sheetView>
  </sheetViews>
  <sheetFormatPr defaultRowHeight="15" x14ac:dyDescent="0.25"/>
  <cols>
    <col min="1" max="1" width="1.42578125" customWidth="1"/>
    <col min="2" max="2" width="4.85546875" customWidth="1"/>
    <col min="3" max="3" width="12.85546875" customWidth="1"/>
    <col min="4" max="4" width="9.140625" customWidth="1"/>
    <col min="5" max="5" width="9.85546875" customWidth="1"/>
    <col min="6" max="6" width="15.5703125" customWidth="1"/>
    <col min="7" max="7" width="11" customWidth="1"/>
    <col min="8" max="8" width="13.140625" bestFit="1" customWidth="1"/>
    <col min="9" max="9" width="16.42578125" style="21" customWidth="1"/>
    <col min="10" max="10" width="10.140625" bestFit="1" customWidth="1"/>
    <col min="11" max="11" width="13.28515625" style="21" bestFit="1" customWidth="1"/>
    <col min="12" max="12" width="15.28515625" style="21" bestFit="1" customWidth="1"/>
    <col min="13" max="13" width="16.5703125" bestFit="1" customWidth="1"/>
  </cols>
  <sheetData>
    <row r="2" spans="2:22" ht="21" x14ac:dyDescent="0.3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26"/>
      <c r="O2" s="26"/>
      <c r="P2" s="26"/>
      <c r="Q2" s="26"/>
      <c r="R2" s="26"/>
      <c r="S2" s="26"/>
      <c r="T2" s="26"/>
      <c r="U2" s="26"/>
      <c r="V2" s="26"/>
    </row>
    <row r="3" spans="2:22" s="37" customFormat="1" ht="21" x14ac:dyDescent="0.35">
      <c r="B3" s="89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26"/>
      <c r="O3" s="26"/>
      <c r="P3" s="26"/>
      <c r="Q3" s="26"/>
      <c r="R3" s="26"/>
      <c r="S3" s="26"/>
      <c r="T3" s="26"/>
      <c r="U3" s="26"/>
      <c r="V3" s="26"/>
    </row>
    <row r="4" spans="2:22" x14ac:dyDescent="0.25">
      <c r="B4" s="90" t="s">
        <v>84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</row>
    <row r="6" spans="2:22" ht="51" customHeight="1" x14ac:dyDescent="0.25">
      <c r="B6" s="13" t="s">
        <v>49</v>
      </c>
      <c r="C6" s="13" t="s">
        <v>50</v>
      </c>
      <c r="D6" s="38" t="s">
        <v>51</v>
      </c>
      <c r="E6" s="38" t="s">
        <v>52</v>
      </c>
      <c r="F6" s="38" t="s">
        <v>53</v>
      </c>
      <c r="G6" s="38" t="s">
        <v>54</v>
      </c>
      <c r="H6" s="38" t="s">
        <v>55</v>
      </c>
      <c r="I6" s="39" t="s">
        <v>56</v>
      </c>
      <c r="J6" s="38" t="s">
        <v>57</v>
      </c>
      <c r="K6" s="39" t="s">
        <v>58</v>
      </c>
      <c r="L6" s="39" t="s">
        <v>59</v>
      </c>
      <c r="M6" s="84" t="s">
        <v>60</v>
      </c>
    </row>
    <row r="7" spans="2:22" x14ac:dyDescent="0.25">
      <c r="B7" s="7">
        <v>1</v>
      </c>
      <c r="C7" s="7" t="s">
        <v>62</v>
      </c>
      <c r="D7" s="7">
        <v>32</v>
      </c>
      <c r="E7" s="7">
        <v>0</v>
      </c>
      <c r="F7" s="7">
        <v>4955010</v>
      </c>
      <c r="G7" s="8">
        <v>70</v>
      </c>
      <c r="H7" s="7">
        <v>237840.48</v>
      </c>
      <c r="I7" s="8">
        <v>4717169.5199999996</v>
      </c>
      <c r="J7" s="40">
        <v>5.52</v>
      </c>
      <c r="K7" s="8"/>
      <c r="L7" s="85">
        <f t="shared" ref="L7:L17" si="0">I7*J7</f>
        <v>26038775.750399996</v>
      </c>
      <c r="M7" s="7"/>
    </row>
    <row r="8" spans="2:22" x14ac:dyDescent="0.25">
      <c r="B8" s="7">
        <v>2</v>
      </c>
      <c r="C8" s="7" t="s">
        <v>63</v>
      </c>
      <c r="D8" s="7">
        <v>31</v>
      </c>
      <c r="E8" s="7">
        <v>0</v>
      </c>
      <c r="F8" s="7">
        <v>3138140</v>
      </c>
      <c r="G8" s="8">
        <v>60</v>
      </c>
      <c r="H8" s="7">
        <v>150630.72</v>
      </c>
      <c r="I8" s="8">
        <v>2987509.28</v>
      </c>
      <c r="J8" s="40">
        <v>5.52</v>
      </c>
      <c r="K8" s="8">
        <v>8633606.784</v>
      </c>
      <c r="L8" s="85">
        <f>I8*J8</f>
        <v>16491051.225599997</v>
      </c>
      <c r="M8" s="7" t="s">
        <v>61</v>
      </c>
    </row>
    <row r="9" spans="2:22" x14ac:dyDescent="0.25">
      <c r="B9" s="7">
        <v>3</v>
      </c>
      <c r="C9" s="7" t="s">
        <v>64</v>
      </c>
      <c r="D9" s="7">
        <v>30</v>
      </c>
      <c r="E9" s="7">
        <v>0</v>
      </c>
      <c r="F9" s="7">
        <v>5614120</v>
      </c>
      <c r="G9" s="8">
        <v>20</v>
      </c>
      <c r="H9" s="7">
        <v>269477.76000000001</v>
      </c>
      <c r="I9" s="8">
        <v>5344642.24</v>
      </c>
      <c r="J9" s="40">
        <v>5.52</v>
      </c>
      <c r="K9" s="8"/>
      <c r="L9" s="85">
        <f t="shared" si="0"/>
        <v>29502425.164799999</v>
      </c>
      <c r="M9" s="7"/>
    </row>
    <row r="10" spans="2:22" x14ac:dyDescent="0.25">
      <c r="B10" s="7">
        <v>4</v>
      </c>
      <c r="C10" s="7" t="s">
        <v>65</v>
      </c>
      <c r="D10" s="7">
        <v>30</v>
      </c>
      <c r="E10" s="7">
        <v>4010427</v>
      </c>
      <c r="F10" s="7">
        <v>4181550</v>
      </c>
      <c r="G10" s="8">
        <v>20</v>
      </c>
      <c r="H10" s="7">
        <v>200714.4</v>
      </c>
      <c r="I10" s="8">
        <v>3980835.6</v>
      </c>
      <c r="J10" s="40">
        <v>5.52</v>
      </c>
      <c r="K10" s="8"/>
      <c r="L10" s="85">
        <v>21974212.511999998</v>
      </c>
      <c r="M10" s="7"/>
    </row>
    <row r="11" spans="2:22" x14ac:dyDescent="0.25">
      <c r="B11" s="7">
        <v>5</v>
      </c>
      <c r="C11" s="7" t="s">
        <v>66</v>
      </c>
      <c r="D11" s="7">
        <v>30</v>
      </c>
      <c r="E11" s="7">
        <v>2472108</v>
      </c>
      <c r="F11" s="7">
        <v>2449630</v>
      </c>
      <c r="G11" s="8">
        <v>0</v>
      </c>
      <c r="H11" s="7">
        <v>117582.24</v>
      </c>
      <c r="I11" s="8">
        <v>2332047.7599999998</v>
      </c>
      <c r="J11" s="40">
        <v>5.52</v>
      </c>
      <c r="K11" s="8"/>
      <c r="L11" s="85">
        <v>12872903.635199998</v>
      </c>
      <c r="M11" s="7"/>
    </row>
    <row r="12" spans="2:22" x14ac:dyDescent="0.25">
      <c r="B12" s="7">
        <v>6</v>
      </c>
      <c r="C12" s="7" t="s">
        <v>67</v>
      </c>
      <c r="D12" s="7">
        <v>29</v>
      </c>
      <c r="E12" s="7">
        <v>2048877.84</v>
      </c>
      <c r="F12" s="7">
        <v>1691340</v>
      </c>
      <c r="G12" s="8">
        <v>20</v>
      </c>
      <c r="H12" s="7">
        <v>81184.320000000007</v>
      </c>
      <c r="I12" s="8">
        <v>1610155.68</v>
      </c>
      <c r="J12" s="40">
        <v>9.66</v>
      </c>
      <c r="K12" s="8"/>
      <c r="L12" s="85">
        <v>15554103.868799999</v>
      </c>
      <c r="M12" s="7"/>
    </row>
    <row r="13" spans="2:22" x14ac:dyDescent="0.25">
      <c r="B13" s="7">
        <v>7</v>
      </c>
      <c r="C13" s="7" t="s">
        <v>68</v>
      </c>
      <c r="D13" s="7">
        <v>29</v>
      </c>
      <c r="E13" s="7">
        <v>0</v>
      </c>
      <c r="F13" s="7">
        <v>1500670</v>
      </c>
      <c r="G13" s="8">
        <v>20</v>
      </c>
      <c r="H13" s="7">
        <v>72032.160000000003</v>
      </c>
      <c r="I13" s="8">
        <v>1328985</v>
      </c>
      <c r="J13" s="40">
        <v>9.66</v>
      </c>
      <c r="K13" s="8"/>
      <c r="L13" s="85">
        <v>12837995.1</v>
      </c>
      <c r="M13" s="7"/>
    </row>
    <row r="14" spans="2:22" x14ac:dyDescent="0.25">
      <c r="B14" s="7">
        <v>8</v>
      </c>
      <c r="C14" s="7" t="s">
        <v>69</v>
      </c>
      <c r="D14" s="7">
        <v>30</v>
      </c>
      <c r="E14" s="7">
        <v>0</v>
      </c>
      <c r="F14" s="7">
        <v>1477200</v>
      </c>
      <c r="G14" s="8">
        <v>10</v>
      </c>
      <c r="H14" s="7">
        <v>70905.600000000006</v>
      </c>
      <c r="I14" s="8">
        <v>1358717</v>
      </c>
      <c r="J14" s="40">
        <v>9.66</v>
      </c>
      <c r="K14" s="8"/>
      <c r="L14" s="85">
        <v>13125206.220000001</v>
      </c>
      <c r="M14" s="7"/>
    </row>
    <row r="15" spans="2:22" x14ac:dyDescent="0.25">
      <c r="B15" s="7">
        <v>9</v>
      </c>
      <c r="C15" s="19" t="s">
        <v>70</v>
      </c>
      <c r="D15" s="7">
        <v>30</v>
      </c>
      <c r="E15" s="7">
        <v>0</v>
      </c>
      <c r="F15" s="7">
        <v>1682620</v>
      </c>
      <c r="G15" s="20">
        <v>30</v>
      </c>
      <c r="H15" s="7">
        <v>80765.759999999995</v>
      </c>
      <c r="I15" s="20">
        <v>1600382</v>
      </c>
      <c r="J15" s="40">
        <v>9.66</v>
      </c>
      <c r="K15" s="8"/>
      <c r="L15" s="85">
        <v>15459690.120000001</v>
      </c>
      <c r="M15" s="7"/>
    </row>
    <row r="16" spans="2:22" x14ac:dyDescent="0.25">
      <c r="B16" s="7">
        <v>10</v>
      </c>
      <c r="C16" s="19" t="s">
        <v>71</v>
      </c>
      <c r="D16" s="7">
        <v>31</v>
      </c>
      <c r="E16" s="7">
        <v>0</v>
      </c>
      <c r="F16" s="7">
        <v>2489280</v>
      </c>
      <c r="G16" s="20">
        <v>20</v>
      </c>
      <c r="H16" s="7">
        <v>119485.44</v>
      </c>
      <c r="I16" s="20">
        <v>2369794.56</v>
      </c>
      <c r="J16" s="40">
        <v>5.52</v>
      </c>
      <c r="K16" s="8"/>
      <c r="L16" s="85">
        <f t="shared" si="0"/>
        <v>13081265.971199999</v>
      </c>
      <c r="M16" s="7"/>
    </row>
    <row r="17" spans="2:13" x14ac:dyDescent="0.25">
      <c r="B17" s="7">
        <v>11</v>
      </c>
      <c r="C17" s="19" t="s">
        <v>72</v>
      </c>
      <c r="D17" s="7">
        <v>32</v>
      </c>
      <c r="E17" s="7">
        <v>0</v>
      </c>
      <c r="F17" s="7">
        <v>3853790</v>
      </c>
      <c r="G17" s="20">
        <v>30</v>
      </c>
      <c r="H17" s="7">
        <v>184981.92</v>
      </c>
      <c r="I17" s="20">
        <v>3668808.08</v>
      </c>
      <c r="J17" s="40">
        <v>5.52</v>
      </c>
      <c r="K17" s="8"/>
      <c r="L17" s="85">
        <f t="shared" si="0"/>
        <v>20251820.601599999</v>
      </c>
      <c r="M17" s="7"/>
    </row>
    <row r="18" spans="2:13" x14ac:dyDescent="0.25">
      <c r="B18" s="7">
        <v>12</v>
      </c>
      <c r="C18" s="19" t="s">
        <v>73</v>
      </c>
      <c r="D18" s="7">
        <v>31</v>
      </c>
      <c r="E18" s="7">
        <v>0</v>
      </c>
      <c r="F18" s="7">
        <v>5534020</v>
      </c>
      <c r="G18" s="20">
        <v>40</v>
      </c>
      <c r="H18" s="7">
        <v>265632.96000000002</v>
      </c>
      <c r="I18" s="20">
        <v>5268387.04</v>
      </c>
      <c r="J18" s="40">
        <v>5.52</v>
      </c>
      <c r="K18" s="8"/>
      <c r="L18" s="85">
        <f>I18*J18</f>
        <v>29081496.4608</v>
      </c>
      <c r="M18" s="7"/>
    </row>
    <row r="19" spans="2:13" x14ac:dyDescent="0.25">
      <c r="B19" s="7">
        <v>13</v>
      </c>
      <c r="C19" s="19" t="s">
        <v>76</v>
      </c>
      <c r="D19" s="7">
        <v>32</v>
      </c>
      <c r="E19" s="7">
        <v>0</v>
      </c>
      <c r="F19" s="7">
        <v>5220320</v>
      </c>
      <c r="G19" s="20">
        <v>100</v>
      </c>
      <c r="H19" s="7">
        <f>F19*0.048</f>
        <v>250575.36000000002</v>
      </c>
      <c r="I19" s="20">
        <f>F19-H19</f>
        <v>4969744.6399999997</v>
      </c>
      <c r="J19" s="65">
        <f>0.12+4.72</f>
        <v>4.84</v>
      </c>
      <c r="K19" s="8"/>
      <c r="L19" s="85">
        <f t="shared" ref="L19:L23" si="1">I19*J19</f>
        <v>24053564.057599999</v>
      </c>
      <c r="M19" s="7"/>
    </row>
    <row r="20" spans="2:13" x14ac:dyDescent="0.25">
      <c r="B20" s="7">
        <v>14</v>
      </c>
      <c r="C20" s="19" t="s">
        <v>77</v>
      </c>
      <c r="D20" s="7">
        <v>31</v>
      </c>
      <c r="E20" s="7">
        <v>0</v>
      </c>
      <c r="F20" s="7">
        <v>5956620</v>
      </c>
      <c r="G20" s="20">
        <v>40</v>
      </c>
      <c r="H20" s="7">
        <f t="shared" ref="H20:H26" si="2">F20*0.048</f>
        <v>285917.76</v>
      </c>
      <c r="I20" s="20">
        <f t="shared" ref="I20:I24" si="3">F20-H20</f>
        <v>5670702.2400000002</v>
      </c>
      <c r="J20" s="65">
        <f t="shared" ref="J20:J23" si="4">0.12+4.72</f>
        <v>4.84</v>
      </c>
      <c r="K20" s="8"/>
      <c r="L20" s="85">
        <f t="shared" si="1"/>
        <v>27446198.841600001</v>
      </c>
      <c r="M20" s="7"/>
    </row>
    <row r="21" spans="2:13" x14ac:dyDescent="0.25">
      <c r="B21" s="7">
        <v>15</v>
      </c>
      <c r="C21" s="19" t="s">
        <v>78</v>
      </c>
      <c r="D21" s="7">
        <v>30</v>
      </c>
      <c r="E21" s="7">
        <v>0</v>
      </c>
      <c r="F21" s="7">
        <v>5965010</v>
      </c>
      <c r="G21" s="20">
        <v>10</v>
      </c>
      <c r="H21" s="7">
        <f t="shared" si="2"/>
        <v>286320.48</v>
      </c>
      <c r="I21" s="20">
        <f t="shared" si="3"/>
        <v>5678689.5199999996</v>
      </c>
      <c r="J21" s="65">
        <f t="shared" si="4"/>
        <v>4.84</v>
      </c>
      <c r="K21" s="8"/>
      <c r="L21" s="85">
        <f t="shared" si="1"/>
        <v>27484857.276799995</v>
      </c>
      <c r="M21" s="7"/>
    </row>
    <row r="22" spans="2:13" x14ac:dyDescent="0.25">
      <c r="B22" s="7">
        <v>16</v>
      </c>
      <c r="C22" s="19" t="s">
        <v>79</v>
      </c>
      <c r="D22" s="7">
        <v>30</v>
      </c>
      <c r="E22" s="7">
        <v>4277788.8</v>
      </c>
      <c r="F22" s="7">
        <v>4067420</v>
      </c>
      <c r="G22" s="20">
        <v>10</v>
      </c>
      <c r="H22" s="7">
        <f t="shared" si="2"/>
        <v>195236.16</v>
      </c>
      <c r="I22" s="20">
        <f t="shared" si="3"/>
        <v>3872183.84</v>
      </c>
      <c r="J22" s="65">
        <f t="shared" si="4"/>
        <v>4.84</v>
      </c>
      <c r="K22" s="8"/>
      <c r="L22" s="85">
        <f t="shared" si="1"/>
        <v>18741369.785599999</v>
      </c>
      <c r="M22" s="7"/>
    </row>
    <row r="23" spans="2:13" x14ac:dyDescent="0.25">
      <c r="B23" s="7">
        <v>17</v>
      </c>
      <c r="C23" s="19" t="s">
        <v>80</v>
      </c>
      <c r="D23" s="7">
        <v>30</v>
      </c>
      <c r="E23" s="7">
        <v>2557353.2000000002</v>
      </c>
      <c r="F23" s="7">
        <v>2359500</v>
      </c>
      <c r="G23" s="20">
        <v>0</v>
      </c>
      <c r="H23" s="7">
        <f t="shared" si="2"/>
        <v>113256</v>
      </c>
      <c r="I23" s="20">
        <f t="shared" si="3"/>
        <v>2246244</v>
      </c>
      <c r="J23" s="65">
        <f t="shared" si="4"/>
        <v>4.84</v>
      </c>
      <c r="K23" s="8"/>
      <c r="L23" s="85">
        <f t="shared" si="1"/>
        <v>10871820.959999999</v>
      </c>
      <c r="M23" s="7"/>
    </row>
    <row r="24" spans="2:13" x14ac:dyDescent="0.25">
      <c r="B24" s="7">
        <v>18</v>
      </c>
      <c r="C24" s="19" t="s">
        <v>81</v>
      </c>
      <c r="D24" s="7">
        <v>29</v>
      </c>
      <c r="E24" s="7">
        <v>1821224.8</v>
      </c>
      <c r="F24" s="7">
        <v>1616060</v>
      </c>
      <c r="G24" s="20">
        <v>40</v>
      </c>
      <c r="H24" s="7">
        <f t="shared" si="2"/>
        <v>77570.880000000005</v>
      </c>
      <c r="I24" s="20">
        <f t="shared" si="3"/>
        <v>1538489.12</v>
      </c>
      <c r="J24" s="65">
        <f>0.21+8.26</f>
        <v>8.4700000000000006</v>
      </c>
      <c r="K24" s="8">
        <v>195168.04</v>
      </c>
      <c r="L24" s="85">
        <f>I24*J24</f>
        <v>13031002.846400002</v>
      </c>
      <c r="M24" s="7" t="s">
        <v>61</v>
      </c>
    </row>
    <row r="25" spans="2:13" x14ac:dyDescent="0.25">
      <c r="B25" s="7">
        <v>19</v>
      </c>
      <c r="C25" s="19" t="s">
        <v>82</v>
      </c>
      <c r="D25" s="7">
        <v>30</v>
      </c>
      <c r="E25" s="7">
        <v>1347315.82</v>
      </c>
      <c r="F25" s="7">
        <v>1275530</v>
      </c>
      <c r="G25" s="20">
        <v>0</v>
      </c>
      <c r="H25" s="7">
        <f t="shared" si="2"/>
        <v>61225.440000000002</v>
      </c>
      <c r="I25" s="20">
        <f>F25-H25</f>
        <v>1214304.56</v>
      </c>
      <c r="J25" s="65">
        <f>0.21+8.26</f>
        <v>8.4700000000000006</v>
      </c>
      <c r="K25" s="8"/>
      <c r="L25" s="85">
        <f>I25*J25</f>
        <v>10285159.623200001</v>
      </c>
      <c r="M25" s="7"/>
    </row>
    <row r="26" spans="2:13" x14ac:dyDescent="0.25">
      <c r="B26" s="7">
        <v>20</v>
      </c>
      <c r="C26" s="19" t="s">
        <v>83</v>
      </c>
      <c r="D26" s="7">
        <v>29</v>
      </c>
      <c r="E26" s="7">
        <v>1116412.46</v>
      </c>
      <c r="F26" s="7">
        <v>946930</v>
      </c>
      <c r="G26" s="20">
        <v>50</v>
      </c>
      <c r="H26" s="7">
        <f t="shared" si="2"/>
        <v>45452.639999999999</v>
      </c>
      <c r="I26" s="20">
        <f>F26-H26</f>
        <v>901477.36</v>
      </c>
      <c r="J26" s="40">
        <v>8.4700000000000006</v>
      </c>
      <c r="K26" s="8"/>
      <c r="L26" s="85">
        <f>I26*J26</f>
        <v>7635513.2392000007</v>
      </c>
      <c r="M26" s="7"/>
    </row>
    <row r="27" spans="2:13" x14ac:dyDescent="0.25">
      <c r="B27" s="36"/>
      <c r="C27" s="41" t="s">
        <v>48</v>
      </c>
      <c r="D27" s="36"/>
      <c r="E27" s="36">
        <f>SUM(E7:E26)</f>
        <v>19651507.920000002</v>
      </c>
      <c r="F27" s="36">
        <f>SUM(F7:F26)</f>
        <v>65974760</v>
      </c>
      <c r="G27" s="36">
        <f t="shared" ref="G27:L27" si="5">SUM(G7:G26)</f>
        <v>590</v>
      </c>
      <c r="H27" s="36">
        <f t="shared" si="5"/>
        <v>3166788.48</v>
      </c>
      <c r="I27" s="14">
        <f t="shared" si="5"/>
        <v>62659269.039999999</v>
      </c>
      <c r="J27" s="36">
        <f t="shared" si="5"/>
        <v>132.41</v>
      </c>
      <c r="K27" s="14">
        <f t="shared" si="5"/>
        <v>8828774.8239999991</v>
      </c>
      <c r="L27" s="14">
        <f t="shared" si="5"/>
        <v>365820433.26079994</v>
      </c>
      <c r="M27" s="36"/>
    </row>
    <row r="31" spans="2:13" x14ac:dyDescent="0.25">
      <c r="C31" t="s">
        <v>85</v>
      </c>
    </row>
    <row r="32" spans="2:13" x14ac:dyDescent="0.25">
      <c r="C32" t="s">
        <v>86</v>
      </c>
      <c r="I32">
        <f xml:space="preserve"> 4.8*(1+0.03)^8</f>
        <v>6.0804963906605565</v>
      </c>
      <c r="J32" t="s">
        <v>90</v>
      </c>
    </row>
    <row r="33" spans="3:3" x14ac:dyDescent="0.25">
      <c r="C33" t="s">
        <v>87</v>
      </c>
    </row>
  </sheetData>
  <mergeCells count="3">
    <mergeCell ref="B2:M2"/>
    <mergeCell ref="B3:M3"/>
    <mergeCell ref="B4:M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7"/>
  <sheetViews>
    <sheetView workbookViewId="0">
      <selection activeCell="N7" sqref="N7"/>
    </sheetView>
  </sheetViews>
  <sheetFormatPr defaultRowHeight="15" x14ac:dyDescent="0.25"/>
  <cols>
    <col min="1" max="1" width="4.42578125" customWidth="1"/>
    <col min="2" max="2" width="7.140625" customWidth="1"/>
    <col min="3" max="3" width="11" customWidth="1"/>
    <col min="4" max="4" width="13" style="21" bestFit="1" customWidth="1"/>
    <col min="5" max="5" width="16" bestFit="1" customWidth="1"/>
    <col min="6" max="6" width="7.85546875" customWidth="1"/>
    <col min="7" max="7" width="14" bestFit="1" customWidth="1"/>
    <col min="8" max="8" width="12.5703125" bestFit="1" customWidth="1"/>
    <col min="9" max="9" width="7.42578125" customWidth="1"/>
    <col min="10" max="10" width="6" customWidth="1"/>
    <col min="11" max="11" width="8.7109375" style="42" customWidth="1"/>
    <col min="12" max="12" width="14" style="42" customWidth="1"/>
    <col min="13" max="13" width="14.7109375" style="42" customWidth="1"/>
    <col min="14" max="14" width="12" style="42" customWidth="1"/>
    <col min="15" max="15" width="12.140625" style="53" customWidth="1"/>
  </cols>
  <sheetData>
    <row r="1" spans="1:15" ht="21" x14ac:dyDescent="0.3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5" ht="21" x14ac:dyDescent="0.35">
      <c r="A2" s="89" t="s">
        <v>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ht="21" x14ac:dyDescent="0.35">
      <c r="A3" s="89" t="s">
        <v>74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</row>
    <row r="4" spans="1:15" s="62" customFormat="1" ht="48" x14ac:dyDescent="0.2">
      <c r="A4" s="56" t="s">
        <v>3</v>
      </c>
      <c r="B4" s="56" t="s">
        <v>4</v>
      </c>
      <c r="C4" s="57" t="s">
        <v>5</v>
      </c>
      <c r="D4" s="58" t="s">
        <v>6</v>
      </c>
      <c r="E4" s="58" t="s">
        <v>7</v>
      </c>
      <c r="F4" s="59" t="s">
        <v>8</v>
      </c>
      <c r="G4" s="60" t="s">
        <v>9</v>
      </c>
      <c r="H4" s="58" t="s">
        <v>75</v>
      </c>
      <c r="I4" s="58" t="s">
        <v>11</v>
      </c>
      <c r="J4" s="58" t="s">
        <v>12</v>
      </c>
      <c r="K4" s="61" t="s">
        <v>13</v>
      </c>
      <c r="L4" s="61" t="s">
        <v>14</v>
      </c>
      <c r="M4" s="61" t="s">
        <v>15</v>
      </c>
      <c r="N4" s="61" t="s">
        <v>23</v>
      </c>
      <c r="O4" s="61" t="s">
        <v>24</v>
      </c>
    </row>
    <row r="5" spans="1:15" x14ac:dyDescent="0.25">
      <c r="A5" s="63">
        <v>1</v>
      </c>
      <c r="B5" s="63" t="s">
        <v>25</v>
      </c>
      <c r="C5" s="63">
        <f>58877749/31*32</f>
        <v>60777031.225806452</v>
      </c>
      <c r="D5" s="64">
        <v>4969744.6399999997</v>
      </c>
      <c r="E5" s="64">
        <v>0</v>
      </c>
      <c r="F5" s="65">
        <f>0.12+4.72</f>
        <v>4.84</v>
      </c>
      <c r="G5" s="64">
        <f>D5*F5</f>
        <v>24053564.057599999</v>
      </c>
      <c r="H5" s="64">
        <f t="shared" ref="H5:H10" si="0">E5*F5</f>
        <v>0</v>
      </c>
      <c r="I5" s="64">
        <v>100</v>
      </c>
      <c r="J5" s="64">
        <v>10.8</v>
      </c>
      <c r="K5" s="66">
        <f t="shared" ref="K5:K15" si="1">I5*J5</f>
        <v>1080</v>
      </c>
      <c r="L5" s="66">
        <f>G5-H5-K5</f>
        <v>24052484.057599999</v>
      </c>
      <c r="M5" s="66">
        <f>L5</f>
        <v>24052484.057599999</v>
      </c>
      <c r="N5" s="67">
        <f>G5*2%+840000/12</f>
        <v>551071.28115199995</v>
      </c>
      <c r="O5" s="66">
        <f>(K5+L5)*2%+840000/12</f>
        <v>551071.28115199995</v>
      </c>
    </row>
    <row r="6" spans="1:15" x14ac:dyDescent="0.25">
      <c r="A6" s="63">
        <f t="shared" ref="A6:A11" si="2">A5+1</f>
        <v>2</v>
      </c>
      <c r="B6" s="63" t="s">
        <v>26</v>
      </c>
      <c r="C6" s="63">
        <f>5877749</f>
        <v>5877749</v>
      </c>
      <c r="D6" s="64">
        <v>5670702.2400000002</v>
      </c>
      <c r="E6" s="64">
        <v>0</v>
      </c>
      <c r="F6" s="65">
        <f t="shared" ref="F6:F10" si="3">0.12+4.72</f>
        <v>4.84</v>
      </c>
      <c r="G6" s="64">
        <f>D6*F6</f>
        <v>27446198.841600001</v>
      </c>
      <c r="H6" s="64">
        <f t="shared" si="0"/>
        <v>0</v>
      </c>
      <c r="I6" s="64">
        <v>40</v>
      </c>
      <c r="J6" s="64">
        <v>10.8</v>
      </c>
      <c r="K6" s="66">
        <f t="shared" si="1"/>
        <v>432</v>
      </c>
      <c r="L6" s="66">
        <f>G6-H6-K6</f>
        <v>27445766.841600001</v>
      </c>
      <c r="M6" s="66">
        <f>L6</f>
        <v>27445766.841600001</v>
      </c>
      <c r="N6" s="67">
        <f t="shared" ref="N6:N7" si="4">G6*2%+840000/12</f>
        <v>618923.97683200007</v>
      </c>
      <c r="O6" s="66">
        <f t="shared" ref="O6:O15" si="5">(K6+L6)*2%+840000/12</f>
        <v>618923.97683200007</v>
      </c>
    </row>
    <row r="7" spans="1:15" x14ac:dyDescent="0.25">
      <c r="A7" s="63">
        <f t="shared" si="2"/>
        <v>3</v>
      </c>
      <c r="B7" s="63" t="s">
        <v>27</v>
      </c>
      <c r="C7" s="63">
        <f>5877749/31*30</f>
        <v>5688144.1935483869</v>
      </c>
      <c r="D7" s="64">
        <v>5678689.5199999996</v>
      </c>
      <c r="E7" s="64">
        <v>0</v>
      </c>
      <c r="F7" s="65">
        <f t="shared" si="3"/>
        <v>4.84</v>
      </c>
      <c r="G7" s="64">
        <f t="shared" ref="G7:G10" si="6">D7*F7</f>
        <v>27484857.276799995</v>
      </c>
      <c r="H7" s="64">
        <f t="shared" si="0"/>
        <v>0</v>
      </c>
      <c r="I7" s="64">
        <v>10</v>
      </c>
      <c r="J7" s="64">
        <v>10.8</v>
      </c>
      <c r="K7" s="66">
        <f t="shared" si="1"/>
        <v>108</v>
      </c>
      <c r="L7" s="66">
        <f t="shared" ref="L7:L15" si="7">G7-H7-K7</f>
        <v>27484749.276799995</v>
      </c>
      <c r="M7" s="66">
        <f>L7</f>
        <v>27484749.276799995</v>
      </c>
      <c r="N7" s="67">
        <f>G7*2%+840000/12</f>
        <v>619697.14553599991</v>
      </c>
      <c r="O7" s="66">
        <f>(K7+L7)*2%+840000/12</f>
        <v>619697.14553599991</v>
      </c>
    </row>
    <row r="8" spans="1:15" s="72" customFormat="1" ht="12.75" x14ac:dyDescent="0.2">
      <c r="A8" s="93" t="s">
        <v>28</v>
      </c>
      <c r="B8" s="94"/>
      <c r="C8" s="95"/>
      <c r="D8" s="68">
        <f>SUM(D5:D7)</f>
        <v>16319136.399999999</v>
      </c>
      <c r="E8" s="69">
        <f t="shared" ref="E8" si="8">SUM(E5:E7)</f>
        <v>0</v>
      </c>
      <c r="F8" s="69"/>
      <c r="G8" s="69">
        <f t="shared" ref="G8:M8" si="9">SUM(G5:G7)</f>
        <v>78984620.175999999</v>
      </c>
      <c r="H8" s="69">
        <f t="shared" si="9"/>
        <v>0</v>
      </c>
      <c r="I8" s="69">
        <f t="shared" si="9"/>
        <v>150</v>
      </c>
      <c r="J8" s="68"/>
      <c r="K8" s="70">
        <f t="shared" si="9"/>
        <v>1620</v>
      </c>
      <c r="L8" s="70">
        <f t="shared" si="9"/>
        <v>78983000.175999999</v>
      </c>
      <c r="M8" s="70">
        <f t="shared" si="9"/>
        <v>78983000.175999999</v>
      </c>
      <c r="N8" s="70">
        <f>SUM(N5:N7)</f>
        <v>1789692.4035199999</v>
      </c>
      <c r="O8" s="71">
        <f>SUM(O5:O7)</f>
        <v>1789692.4035199999</v>
      </c>
    </row>
    <row r="9" spans="1:15" x14ac:dyDescent="0.25">
      <c r="A9" s="63">
        <f>A7+1</f>
        <v>4</v>
      </c>
      <c r="B9" s="63" t="s">
        <v>29</v>
      </c>
      <c r="C9" s="63">
        <v>5347236</v>
      </c>
      <c r="D9" s="64">
        <v>3872183.84</v>
      </c>
      <c r="E9" s="64"/>
      <c r="F9" s="65">
        <f t="shared" si="3"/>
        <v>4.84</v>
      </c>
      <c r="G9" s="64">
        <f>D9*F9</f>
        <v>18741369.785599999</v>
      </c>
      <c r="H9" s="64">
        <f>E9*F9</f>
        <v>0</v>
      </c>
      <c r="I9" s="64">
        <v>20</v>
      </c>
      <c r="J9" s="64">
        <v>10.8</v>
      </c>
      <c r="K9" s="66">
        <f t="shared" si="1"/>
        <v>216</v>
      </c>
      <c r="L9" s="66">
        <f t="shared" si="7"/>
        <v>18741153.785599999</v>
      </c>
      <c r="M9" s="66">
        <f>L9</f>
        <v>18741153.785599999</v>
      </c>
      <c r="N9" s="67">
        <f>G9*2%+840000/12</f>
        <v>444827.39571199997</v>
      </c>
      <c r="O9" s="66">
        <f t="shared" si="5"/>
        <v>444827.39571199997</v>
      </c>
    </row>
    <row r="10" spans="1:15" x14ac:dyDescent="0.25">
      <c r="A10" s="63">
        <f t="shared" si="2"/>
        <v>5</v>
      </c>
      <c r="B10" s="63" t="s">
        <v>30</v>
      </c>
      <c r="C10" s="63">
        <v>3531583</v>
      </c>
      <c r="D10" s="64">
        <v>2246244</v>
      </c>
      <c r="E10" s="64"/>
      <c r="F10" s="65">
        <f t="shared" si="3"/>
        <v>4.84</v>
      </c>
      <c r="G10" s="64">
        <f t="shared" si="6"/>
        <v>10871820.959999999</v>
      </c>
      <c r="H10" s="64">
        <f t="shared" si="0"/>
        <v>0</v>
      </c>
      <c r="I10" s="64">
        <v>0</v>
      </c>
      <c r="J10" s="64">
        <v>10.8</v>
      </c>
      <c r="K10" s="66">
        <f t="shared" si="1"/>
        <v>0</v>
      </c>
      <c r="L10" s="66">
        <f t="shared" si="7"/>
        <v>10871820.959999999</v>
      </c>
      <c r="M10" s="66">
        <f t="shared" ref="M10" si="10">L10</f>
        <v>10871820.959999999</v>
      </c>
      <c r="N10" s="67">
        <f t="shared" ref="N10:N15" si="11">G10*2%+840000/12</f>
        <v>287436.4192</v>
      </c>
      <c r="O10" s="66">
        <f t="shared" si="5"/>
        <v>287436.4192</v>
      </c>
    </row>
    <row r="11" spans="1:15" x14ac:dyDescent="0.25">
      <c r="A11" s="63">
        <f t="shared" si="2"/>
        <v>6</v>
      </c>
      <c r="B11" s="63" t="s">
        <v>31</v>
      </c>
      <c r="C11" s="63">
        <v>2276530.9300000002</v>
      </c>
      <c r="D11" s="64">
        <v>1538489.12</v>
      </c>
      <c r="E11" s="8">
        <f>1821224.8*90%-1616060</f>
        <v>23042.320000000065</v>
      </c>
      <c r="F11" s="65">
        <f>0.21+8.26</f>
        <v>8.4700000000000006</v>
      </c>
      <c r="G11" s="64">
        <f>D11*F11</f>
        <v>13031002.846400002</v>
      </c>
      <c r="H11" s="64">
        <f>E11*F11</f>
        <v>195168.45040000055</v>
      </c>
      <c r="I11" s="64">
        <v>40</v>
      </c>
      <c r="J11" s="64">
        <v>10.8</v>
      </c>
      <c r="K11" s="66">
        <f t="shared" si="1"/>
        <v>432</v>
      </c>
      <c r="L11" s="66">
        <f>G11-H11-K11</f>
        <v>12835402.396000002</v>
      </c>
      <c r="M11" s="66">
        <f>L11</f>
        <v>12835402.396000002</v>
      </c>
      <c r="N11" s="67">
        <f t="shared" si="11"/>
        <v>330620.05692800006</v>
      </c>
      <c r="O11" s="66">
        <f t="shared" si="5"/>
        <v>326716.68792000005</v>
      </c>
    </row>
    <row r="12" spans="1:15" s="72" customFormat="1" ht="12.75" x14ac:dyDescent="0.2">
      <c r="A12" s="93" t="s">
        <v>32</v>
      </c>
      <c r="B12" s="94"/>
      <c r="C12" s="95"/>
      <c r="D12" s="68">
        <f t="shared" ref="D12:E12" si="12">SUM(D9:D11)</f>
        <v>7656916.96</v>
      </c>
      <c r="E12" s="69">
        <f t="shared" si="12"/>
        <v>23042.320000000065</v>
      </c>
      <c r="F12" s="69"/>
      <c r="G12" s="69">
        <f t="shared" ref="G12:I12" si="13">SUM(G9:G11)</f>
        <v>42644193.592</v>
      </c>
      <c r="H12" s="69">
        <f t="shared" si="13"/>
        <v>195168.45040000055</v>
      </c>
      <c r="I12" s="69">
        <f t="shared" si="13"/>
        <v>60</v>
      </c>
      <c r="J12" s="68"/>
      <c r="K12" s="70">
        <f>SUM(K9:K11)</f>
        <v>648</v>
      </c>
      <c r="L12" s="70">
        <f t="shared" ref="L12:M12" si="14">SUM(L9:L11)</f>
        <v>42448377.141599998</v>
      </c>
      <c r="M12" s="70">
        <f t="shared" si="14"/>
        <v>42448377.141599998</v>
      </c>
      <c r="N12" s="70">
        <f>SUM(N9:N11)</f>
        <v>1062883.8718400002</v>
      </c>
      <c r="O12" s="71">
        <f>SUM(O9:O11)</f>
        <v>1058980.5028320001</v>
      </c>
    </row>
    <row r="13" spans="1:15" s="62" customFormat="1" ht="12.75" x14ac:dyDescent="0.2">
      <c r="A13" s="63">
        <v>7</v>
      </c>
      <c r="B13" s="63" t="s">
        <v>33</v>
      </c>
      <c r="C13" s="63">
        <v>1374812</v>
      </c>
      <c r="D13" s="64">
        <v>1214304.56</v>
      </c>
      <c r="E13" s="86"/>
      <c r="F13" s="65">
        <f>0.21+8.26</f>
        <v>8.4700000000000006</v>
      </c>
      <c r="G13" s="64">
        <f>D13*F13</f>
        <v>10285159.623200001</v>
      </c>
      <c r="H13" s="86"/>
      <c r="I13" s="86">
        <v>0</v>
      </c>
      <c r="J13" s="64">
        <v>10.8</v>
      </c>
      <c r="K13" s="66">
        <f t="shared" si="1"/>
        <v>0</v>
      </c>
      <c r="L13" s="66">
        <f t="shared" si="7"/>
        <v>10285159.623200001</v>
      </c>
      <c r="M13" s="66">
        <f>L13</f>
        <v>10285159.623200001</v>
      </c>
      <c r="N13" s="67">
        <f t="shared" si="11"/>
        <v>275703.19246400002</v>
      </c>
      <c r="O13" s="66">
        <f t="shared" si="5"/>
        <v>275703.19246400002</v>
      </c>
    </row>
    <row r="14" spans="1:15" s="62" customFormat="1" ht="12.75" x14ac:dyDescent="0.2">
      <c r="A14" s="63">
        <v>8</v>
      </c>
      <c r="B14" s="63" t="s">
        <v>34</v>
      </c>
      <c r="C14" s="63">
        <v>1313426.43</v>
      </c>
      <c r="D14" s="64">
        <v>901477.36</v>
      </c>
      <c r="E14" s="86"/>
      <c r="F14" s="65">
        <f t="shared" ref="F14:F15" si="15">0.21+8.26</f>
        <v>8.4700000000000006</v>
      </c>
      <c r="G14" s="64">
        <f t="shared" ref="G14:G15" si="16">D14*F14</f>
        <v>7635513.2392000007</v>
      </c>
      <c r="H14" s="86"/>
      <c r="I14" s="86">
        <v>50</v>
      </c>
      <c r="J14" s="64">
        <v>10.8</v>
      </c>
      <c r="K14" s="66">
        <f t="shared" si="1"/>
        <v>540</v>
      </c>
      <c r="L14" s="66">
        <f t="shared" si="7"/>
        <v>7634973.2392000007</v>
      </c>
      <c r="M14" s="66">
        <f t="shared" ref="M14:M15" si="17">L14</f>
        <v>7634973.2392000007</v>
      </c>
      <c r="N14" s="67">
        <f t="shared" si="11"/>
        <v>222710.26478400003</v>
      </c>
      <c r="O14" s="66">
        <f t="shared" si="5"/>
        <v>222710.26478400003</v>
      </c>
    </row>
    <row r="15" spans="1:15" s="62" customFormat="1" ht="12.75" x14ac:dyDescent="0.2">
      <c r="A15" s="63">
        <v>9</v>
      </c>
      <c r="B15" s="63" t="s">
        <v>35</v>
      </c>
      <c r="C15" s="63">
        <f>1600382*31/30</f>
        <v>1653728.0666666667</v>
      </c>
      <c r="D15" s="64"/>
      <c r="E15" s="86"/>
      <c r="F15" s="65">
        <f t="shared" si="15"/>
        <v>8.4700000000000006</v>
      </c>
      <c r="G15" s="64">
        <f t="shared" si="16"/>
        <v>0</v>
      </c>
      <c r="H15" s="86"/>
      <c r="I15" s="86"/>
      <c r="J15" s="64">
        <v>10.8</v>
      </c>
      <c r="K15" s="66">
        <f t="shared" si="1"/>
        <v>0</v>
      </c>
      <c r="L15" s="66">
        <f t="shared" si="7"/>
        <v>0</v>
      </c>
      <c r="M15" s="66">
        <f t="shared" si="17"/>
        <v>0</v>
      </c>
      <c r="N15" s="67">
        <f t="shared" si="11"/>
        <v>70000</v>
      </c>
      <c r="O15" s="66">
        <f t="shared" si="5"/>
        <v>70000</v>
      </c>
    </row>
    <row r="16" spans="1:15" s="72" customFormat="1" ht="12.75" x14ac:dyDescent="0.2">
      <c r="A16" s="93" t="s">
        <v>36</v>
      </c>
      <c r="B16" s="94"/>
      <c r="C16" s="95"/>
      <c r="D16" s="68">
        <f>SUM(D13:D15)</f>
        <v>2115781.92</v>
      </c>
      <c r="E16" s="68">
        <f t="shared" ref="E16:O16" si="18">SUM(E13:E15)</f>
        <v>0</v>
      </c>
      <c r="F16" s="68"/>
      <c r="G16" s="68">
        <f t="shared" si="18"/>
        <v>17920672.862400003</v>
      </c>
      <c r="H16" s="68">
        <f t="shared" si="18"/>
        <v>0</v>
      </c>
      <c r="I16" s="68">
        <f t="shared" si="18"/>
        <v>50</v>
      </c>
      <c r="J16" s="68"/>
      <c r="K16" s="68">
        <f t="shared" si="18"/>
        <v>540</v>
      </c>
      <c r="L16" s="68">
        <f t="shared" si="18"/>
        <v>17920132.862400003</v>
      </c>
      <c r="M16" s="68">
        <f t="shared" si="18"/>
        <v>17920132.862400003</v>
      </c>
      <c r="N16" s="68">
        <f t="shared" si="18"/>
        <v>568413.45724800008</v>
      </c>
      <c r="O16" s="68">
        <f t="shared" si="18"/>
        <v>568413.45724800008</v>
      </c>
    </row>
    <row r="17" spans="1:15" s="72" customFormat="1" ht="12.75" x14ac:dyDescent="0.2">
      <c r="A17" s="92" t="s">
        <v>41</v>
      </c>
      <c r="B17" s="92"/>
      <c r="C17" s="83"/>
      <c r="D17" s="68">
        <f>D8+D12+D16</f>
        <v>26091835.280000001</v>
      </c>
      <c r="E17" s="68">
        <f t="shared" ref="E17:O17" si="19">E8+E12+E16</f>
        <v>23042.320000000065</v>
      </c>
      <c r="F17" s="68"/>
      <c r="G17" s="68">
        <f t="shared" si="19"/>
        <v>139549486.6304</v>
      </c>
      <c r="H17" s="68">
        <f t="shared" si="19"/>
        <v>195168.45040000055</v>
      </c>
      <c r="I17" s="68">
        <f t="shared" si="19"/>
        <v>260</v>
      </c>
      <c r="J17" s="68">
        <f t="shared" si="19"/>
        <v>0</v>
      </c>
      <c r="K17" s="68">
        <f t="shared" si="19"/>
        <v>2808</v>
      </c>
      <c r="L17" s="68">
        <f t="shared" si="19"/>
        <v>139351510.18000001</v>
      </c>
      <c r="M17" s="68">
        <f t="shared" si="19"/>
        <v>139351510.18000001</v>
      </c>
      <c r="N17" s="68">
        <f t="shared" si="19"/>
        <v>3420989.7326080003</v>
      </c>
      <c r="O17" s="68">
        <f t="shared" si="19"/>
        <v>3417086.3636000003</v>
      </c>
    </row>
    <row r="18" spans="1:15" s="17" customFormat="1" x14ac:dyDescent="0.25">
      <c r="A18" s="23"/>
      <c r="B18" s="23"/>
      <c r="C18" s="23"/>
      <c r="D18" s="24"/>
      <c r="E18" s="25"/>
      <c r="F18" s="25"/>
      <c r="G18" s="25"/>
      <c r="H18" s="25"/>
      <c r="I18" s="25"/>
      <c r="J18" s="25"/>
      <c r="K18" s="49"/>
      <c r="L18" s="49"/>
      <c r="M18" s="49"/>
      <c r="N18" s="49"/>
      <c r="O18" s="50"/>
    </row>
    <row r="19" spans="1:15" s="17" customFormat="1" x14ac:dyDescent="0.25">
      <c r="A19" s="23"/>
      <c r="B19" s="23"/>
      <c r="C19" s="23"/>
      <c r="D19" s="24"/>
      <c r="E19" s="25"/>
      <c r="F19" s="25"/>
      <c r="G19" s="25"/>
      <c r="H19" s="25"/>
      <c r="I19" s="25"/>
      <c r="J19" s="25"/>
      <c r="K19" s="49"/>
      <c r="L19" s="49"/>
      <c r="M19" s="49"/>
      <c r="N19" s="49"/>
      <c r="O19" s="50"/>
    </row>
    <row r="20" spans="1:15" s="17" customFormat="1" ht="21" x14ac:dyDescent="0.35">
      <c r="A20" s="89"/>
      <c r="B20" s="89"/>
      <c r="C20" s="89"/>
      <c r="D20" s="89"/>
      <c r="E20" s="89"/>
      <c r="F20" s="89"/>
      <c r="G20" s="89"/>
      <c r="H20" s="89"/>
      <c r="I20" s="26"/>
      <c r="J20" s="26"/>
      <c r="K20" s="51"/>
      <c r="L20" s="51"/>
      <c r="M20" s="51"/>
      <c r="N20" s="51"/>
      <c r="O20" s="51"/>
    </row>
    <row r="21" spans="1:15" x14ac:dyDescent="0.25">
      <c r="A21" s="73"/>
      <c r="B21" s="73"/>
      <c r="C21" s="73"/>
      <c r="D21" s="74"/>
      <c r="E21" s="73"/>
      <c r="F21" s="73"/>
      <c r="G21" s="73"/>
      <c r="H21" s="73"/>
      <c r="I21" s="73"/>
    </row>
    <row r="22" spans="1:15" x14ac:dyDescent="0.25">
      <c r="A22" s="73"/>
      <c r="B22" s="73"/>
      <c r="C22" s="73" t="s">
        <v>88</v>
      </c>
      <c r="D22" s="74"/>
      <c r="E22" s="73" t="s">
        <v>92</v>
      </c>
      <c r="F22" s="73"/>
      <c r="G22" s="73"/>
      <c r="H22" s="73"/>
      <c r="I22" s="73"/>
    </row>
    <row r="23" spans="1:15" ht="15.75" customHeight="1" x14ac:dyDescent="0.25">
      <c r="A23" s="75"/>
      <c r="B23" s="75"/>
      <c r="C23" s="87" t="s">
        <v>89</v>
      </c>
      <c r="D23" s="76"/>
      <c r="E23" s="88"/>
      <c r="F23" s="78"/>
      <c r="G23" s="75"/>
      <c r="H23" s="77"/>
      <c r="I23" s="73"/>
    </row>
    <row r="24" spans="1:15" x14ac:dyDescent="0.25">
      <c r="A24" s="37"/>
      <c r="B24" s="37"/>
      <c r="C24" s="74"/>
      <c r="D24" s="74"/>
      <c r="E24" s="25"/>
      <c r="F24" s="80"/>
      <c r="G24" s="74"/>
      <c r="H24" s="74"/>
      <c r="I24" s="73"/>
    </row>
    <row r="25" spans="1:15" x14ac:dyDescent="0.25">
      <c r="A25" s="37"/>
      <c r="B25" s="37"/>
      <c r="C25" s="74"/>
      <c r="D25" s="74"/>
      <c r="E25" s="79"/>
      <c r="F25" s="80"/>
      <c r="G25" s="74"/>
      <c r="H25" s="74"/>
      <c r="I25" s="73"/>
    </row>
    <row r="26" spans="1:15" s="17" customFormat="1" x14ac:dyDescent="0.25">
      <c r="A26" s="91"/>
      <c r="B26" s="91"/>
      <c r="C26" s="25"/>
      <c r="D26" s="24"/>
      <c r="E26" s="25"/>
      <c r="F26" s="81"/>
      <c r="G26" s="24"/>
      <c r="H26" s="24"/>
      <c r="I26" s="81"/>
      <c r="K26" s="47"/>
      <c r="L26" s="47"/>
      <c r="M26" s="47"/>
      <c r="N26" s="47"/>
      <c r="O26" s="55"/>
    </row>
    <row r="27" spans="1:15" x14ac:dyDescent="0.25">
      <c r="A27" s="73"/>
      <c r="B27" s="73"/>
      <c r="C27" s="73"/>
      <c r="D27" s="74"/>
      <c r="E27" s="73"/>
      <c r="F27" s="73"/>
      <c r="G27" s="73"/>
      <c r="H27" s="82"/>
      <c r="I27" s="82"/>
      <c r="J27" s="27"/>
    </row>
  </sheetData>
  <mergeCells count="9">
    <mergeCell ref="A26:B26"/>
    <mergeCell ref="A1:O1"/>
    <mergeCell ref="A2:O2"/>
    <mergeCell ref="A3:O3"/>
    <mergeCell ref="A17:B17"/>
    <mergeCell ref="A20:H20"/>
    <mergeCell ref="A16:C16"/>
    <mergeCell ref="A8:C8"/>
    <mergeCell ref="A12:C12"/>
  </mergeCells>
  <pageMargins left="0.2" right="0.2" top="0.99" bottom="0.75" header="0.3" footer="0.3"/>
  <pageSetup scale="83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33"/>
  <sheetViews>
    <sheetView tabSelected="1" workbookViewId="0">
      <selection activeCell="A34" sqref="A34"/>
    </sheetView>
  </sheetViews>
  <sheetFormatPr defaultRowHeight="15" x14ac:dyDescent="0.25"/>
  <cols>
    <col min="1" max="2" width="7.7109375" customWidth="1"/>
    <col min="3" max="3" width="13.7109375" customWidth="1"/>
    <col min="4" max="4" width="14.28515625" style="21" bestFit="1" customWidth="1"/>
    <col min="5" max="5" width="13.5703125" customWidth="1"/>
    <col min="6" max="6" width="8.28515625" customWidth="1"/>
    <col min="7" max="7" width="15.140625" customWidth="1"/>
    <col min="8" max="8" width="13.7109375" customWidth="1"/>
    <col min="9" max="9" width="8.85546875" customWidth="1"/>
    <col min="10" max="10" width="9.42578125" customWidth="1"/>
    <col min="11" max="11" width="11.28515625" style="42" customWidth="1"/>
    <col min="12" max="12" width="15.42578125" style="42" customWidth="1"/>
    <col min="13" max="13" width="15.28515625" style="42" bestFit="1" customWidth="1"/>
    <col min="14" max="14" width="5.28515625" style="42" customWidth="1"/>
    <col min="15" max="15" width="15.28515625" style="42" bestFit="1" customWidth="1"/>
    <col min="16" max="16" width="14.5703125" style="42" customWidth="1"/>
    <col min="17" max="17" width="15.7109375" style="42" customWidth="1"/>
    <col min="18" max="18" width="14.28515625" style="42" bestFit="1" customWidth="1"/>
    <col min="19" max="19" width="15.7109375" style="42" customWidth="1"/>
    <col min="20" max="21" width="15.28515625" style="42" bestFit="1" customWidth="1"/>
    <col min="22" max="22" width="13.28515625" style="53" bestFit="1" customWidth="1"/>
    <col min="23" max="23" width="9.140625" style="42"/>
  </cols>
  <sheetData>
    <row r="1" spans="1:23" ht="21" x14ac:dyDescent="0.3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3" ht="21" x14ac:dyDescent="0.35">
      <c r="A2" s="98" t="s">
        <v>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</row>
    <row r="3" spans="1:23" ht="21" x14ac:dyDescent="0.35">
      <c r="A3" s="99" t="s">
        <v>2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1"/>
    </row>
    <row r="4" spans="1:23" ht="51" x14ac:dyDescent="0.25">
      <c r="A4" s="1" t="s">
        <v>3</v>
      </c>
      <c r="B4" s="1" t="s">
        <v>4</v>
      </c>
      <c r="C4" s="2" t="s">
        <v>5</v>
      </c>
      <c r="D4" s="3" t="s">
        <v>6</v>
      </c>
      <c r="E4" s="3" t="s">
        <v>7</v>
      </c>
      <c r="F4" s="4" t="s">
        <v>8</v>
      </c>
      <c r="G4" s="5" t="s">
        <v>9</v>
      </c>
      <c r="H4" s="3" t="s">
        <v>10</v>
      </c>
      <c r="I4" s="3" t="s">
        <v>11</v>
      </c>
      <c r="J4" s="3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</row>
    <row r="5" spans="1:23" x14ac:dyDescent="0.25">
      <c r="A5" s="7">
        <v>1</v>
      </c>
      <c r="B5" s="7" t="s">
        <v>25</v>
      </c>
      <c r="C5" s="7">
        <f>4459755/31*32</f>
        <v>4603618.064516129</v>
      </c>
      <c r="D5" s="8">
        <v>4717169.5199999996</v>
      </c>
      <c r="E5" s="8">
        <v>0</v>
      </c>
      <c r="F5" s="9">
        <v>4.72</v>
      </c>
      <c r="G5" s="8">
        <f>D5*F5</f>
        <v>22265040.134399995</v>
      </c>
      <c r="H5" s="8">
        <f t="shared" ref="H5:H14" si="0">E5*F5</f>
        <v>0</v>
      </c>
      <c r="I5" s="8">
        <v>70</v>
      </c>
      <c r="J5" s="8">
        <v>10.8</v>
      </c>
      <c r="K5" s="10">
        <f t="shared" ref="K5:K19" si="1">I5*J5</f>
        <v>756</v>
      </c>
      <c r="L5" s="10">
        <f>G5-H5-K5</f>
        <v>22264284.134399995</v>
      </c>
      <c r="M5" s="10">
        <f>L5</f>
        <v>22264284.134399995</v>
      </c>
      <c r="N5" s="10">
        <v>5.52</v>
      </c>
      <c r="O5" s="10">
        <f>D5*N5</f>
        <v>26038775.750399996</v>
      </c>
      <c r="P5" s="10">
        <f t="shared" ref="P5:P14" si="2">E5*N5</f>
        <v>0</v>
      </c>
      <c r="Q5" s="10">
        <f>O5-P5-K5</f>
        <v>26038019.750399996</v>
      </c>
      <c r="R5" s="10">
        <f>Q5-L5-K5</f>
        <v>3772979.6160000004</v>
      </c>
      <c r="S5" s="11">
        <f>Q5-R5</f>
        <v>22265040.134399995</v>
      </c>
      <c r="T5" s="43">
        <f>R5+K5</f>
        <v>3773735.6160000004</v>
      </c>
      <c r="U5" s="43">
        <f>O5*2%+840000/12</f>
        <v>590775.51500799996</v>
      </c>
      <c r="V5" s="11">
        <f>(M5+K5)*2%+840000/12</f>
        <v>515300.80268799991</v>
      </c>
    </row>
    <row r="6" spans="1:23" x14ac:dyDescent="0.25">
      <c r="A6" s="7">
        <f t="shared" ref="A6:A18" si="3">A5+1</f>
        <v>2</v>
      </c>
      <c r="B6" s="7" t="s">
        <v>26</v>
      </c>
      <c r="C6" s="7">
        <v>5877749</v>
      </c>
      <c r="D6" s="8">
        <v>2987509.28</v>
      </c>
      <c r="E6" s="8">
        <f>IF((C6*80%-D6/952)&gt;0,(C6*80%-D6/0.952),0)</f>
        <v>1564059.2000000002</v>
      </c>
      <c r="F6" s="9">
        <v>4.72</v>
      </c>
      <c r="G6" s="8">
        <f t="shared" ref="G6:G19" si="4">D6*F6</f>
        <v>14101043.801599998</v>
      </c>
      <c r="H6" s="8">
        <f t="shared" si="0"/>
        <v>7382359.4240000006</v>
      </c>
      <c r="I6" s="8">
        <v>60</v>
      </c>
      <c r="J6" s="8">
        <v>10.8</v>
      </c>
      <c r="K6" s="10">
        <f t="shared" si="1"/>
        <v>648</v>
      </c>
      <c r="L6" s="10">
        <f>G6-H6-K6</f>
        <v>6718036.3775999974</v>
      </c>
      <c r="M6" s="10">
        <f>L6</f>
        <v>6718036.3775999974</v>
      </c>
      <c r="N6" s="10">
        <v>5.52</v>
      </c>
      <c r="O6" s="10">
        <f t="shared" ref="O6:O15" si="5">D6*N6</f>
        <v>16491051.225599997</v>
      </c>
      <c r="P6" s="10">
        <f t="shared" si="2"/>
        <v>8633606.784</v>
      </c>
      <c r="Q6" s="10">
        <f t="shared" ref="Q6:Q19" si="6">O6-P6-K6</f>
        <v>7856796.4415999968</v>
      </c>
      <c r="R6" s="10">
        <f t="shared" ref="R6:R7" si="7">Q6-L6-K6</f>
        <v>1138112.0639999993</v>
      </c>
      <c r="S6" s="11">
        <f>Q6-R6</f>
        <v>6718684.3775999974</v>
      </c>
      <c r="T6" s="43">
        <f t="shared" ref="T6:T7" si="8">R6+K6</f>
        <v>1138760.0639999993</v>
      </c>
      <c r="U6" s="43">
        <f t="shared" ref="U6:U19" si="9">O6*2%+840000/12</f>
        <v>399821.02451199992</v>
      </c>
      <c r="V6" s="11">
        <f t="shared" ref="V6:V19" si="10">(M6+K6)*2%+840000/12</f>
        <v>204373.68755199996</v>
      </c>
    </row>
    <row r="7" spans="1:23" x14ac:dyDescent="0.25">
      <c r="A7" s="7">
        <f t="shared" si="3"/>
        <v>3</v>
      </c>
      <c r="B7" s="7" t="s">
        <v>27</v>
      </c>
      <c r="C7" s="7">
        <f>5877749*30/31</f>
        <v>5688144.1935483869</v>
      </c>
      <c r="D7" s="8">
        <v>5344642.24</v>
      </c>
      <c r="E7" s="8">
        <v>0</v>
      </c>
      <c r="F7" s="9">
        <v>4.72</v>
      </c>
      <c r="G7" s="8">
        <f t="shared" si="4"/>
        <v>25226711.3728</v>
      </c>
      <c r="H7" s="8">
        <f t="shared" si="0"/>
        <v>0</v>
      </c>
      <c r="I7" s="8">
        <v>20</v>
      </c>
      <c r="J7" s="8">
        <v>10.8</v>
      </c>
      <c r="K7" s="10">
        <f t="shared" si="1"/>
        <v>216</v>
      </c>
      <c r="L7" s="10">
        <f t="shared" ref="L7:L19" si="11">G7-H7-K7</f>
        <v>25226495.3728</v>
      </c>
      <c r="M7" s="10">
        <f>L7</f>
        <v>25226495.3728</v>
      </c>
      <c r="N7" s="10">
        <v>5.52</v>
      </c>
      <c r="O7" s="10">
        <f t="shared" si="5"/>
        <v>29502425.164799999</v>
      </c>
      <c r="P7" s="10">
        <f t="shared" si="2"/>
        <v>0</v>
      </c>
      <c r="Q7" s="10">
        <f t="shared" si="6"/>
        <v>29502209.164799999</v>
      </c>
      <c r="R7" s="10">
        <f t="shared" si="7"/>
        <v>4275497.7919999994</v>
      </c>
      <c r="S7" s="11">
        <f t="shared" ref="S7" si="12">Q7-R7</f>
        <v>25226711.3728</v>
      </c>
      <c r="T7" s="43">
        <f t="shared" si="8"/>
        <v>4275713.7919999994</v>
      </c>
      <c r="U7" s="43">
        <f t="shared" si="9"/>
        <v>660048.50329599995</v>
      </c>
      <c r="V7" s="11">
        <f t="shared" si="10"/>
        <v>574534.22745599994</v>
      </c>
    </row>
    <row r="8" spans="1:23" s="17" customFormat="1" x14ac:dyDescent="0.25">
      <c r="A8" s="13" t="s">
        <v>28</v>
      </c>
      <c r="B8" s="13"/>
      <c r="C8" s="13"/>
      <c r="D8" s="14">
        <f>SUM(D5:D7)</f>
        <v>13049321.039999999</v>
      </c>
      <c r="E8" s="15">
        <f t="shared" ref="E8" si="13">SUM(E5:E7)</f>
        <v>1564059.2000000002</v>
      </c>
      <c r="F8" s="15"/>
      <c r="G8" s="15">
        <f t="shared" ref="G8:S8" si="14">SUM(G5:G7)</f>
        <v>61592795.30879999</v>
      </c>
      <c r="H8" s="15">
        <f t="shared" si="14"/>
        <v>7382359.4240000006</v>
      </c>
      <c r="I8" s="15">
        <f t="shared" si="14"/>
        <v>150</v>
      </c>
      <c r="J8" s="16"/>
      <c r="K8" s="44">
        <f t="shared" si="14"/>
        <v>1620</v>
      </c>
      <c r="L8" s="44">
        <f t="shared" si="14"/>
        <v>54208815.884799995</v>
      </c>
      <c r="M8" s="44">
        <f t="shared" si="14"/>
        <v>54208815.884799995</v>
      </c>
      <c r="N8" s="45"/>
      <c r="O8" s="44">
        <f t="shared" si="14"/>
        <v>72032252.140799999</v>
      </c>
      <c r="P8" s="44">
        <f t="shared" si="14"/>
        <v>8633606.784</v>
      </c>
      <c r="Q8" s="44">
        <f t="shared" si="14"/>
        <v>63397025.35679999</v>
      </c>
      <c r="R8" s="44">
        <f t="shared" si="14"/>
        <v>9186589.4719999991</v>
      </c>
      <c r="S8" s="44">
        <f t="shared" si="14"/>
        <v>54210435.884799995</v>
      </c>
      <c r="T8" s="44">
        <f>SUM(T5:T7)</f>
        <v>9188209.4719999991</v>
      </c>
      <c r="U8" s="44">
        <f>SUM(U5:U7)</f>
        <v>1650645.0428159998</v>
      </c>
      <c r="V8" s="46">
        <f>SUM(V5:V7)</f>
        <v>1294208.7176959999</v>
      </c>
      <c r="W8" s="47"/>
    </row>
    <row r="9" spans="1:23" x14ac:dyDescent="0.25">
      <c r="A9" s="7">
        <f>A7+1</f>
        <v>4</v>
      </c>
      <c r="B9" s="7" t="s">
        <v>29</v>
      </c>
      <c r="C9" s="7">
        <v>5347236</v>
      </c>
      <c r="D9" s="8">
        <v>3980835.6</v>
      </c>
      <c r="E9" s="8"/>
      <c r="F9" s="9">
        <v>4.72</v>
      </c>
      <c r="G9" s="8">
        <f>D9*F9</f>
        <v>18789544.031999998</v>
      </c>
      <c r="H9" s="8">
        <f>E9*F9</f>
        <v>0</v>
      </c>
      <c r="I9" s="8">
        <v>20</v>
      </c>
      <c r="J9" s="8">
        <v>10.8</v>
      </c>
      <c r="K9" s="10">
        <f t="shared" si="1"/>
        <v>216</v>
      </c>
      <c r="L9" s="10">
        <f t="shared" si="11"/>
        <v>18789328.031999998</v>
      </c>
      <c r="M9" s="10">
        <f>L9</f>
        <v>18789328.031999998</v>
      </c>
      <c r="N9" s="10">
        <v>5.52</v>
      </c>
      <c r="O9" s="10">
        <f t="shared" si="5"/>
        <v>21974212.511999998</v>
      </c>
      <c r="P9" s="10">
        <f t="shared" si="2"/>
        <v>0</v>
      </c>
      <c r="Q9" s="10">
        <f t="shared" si="6"/>
        <v>21973996.511999998</v>
      </c>
      <c r="R9" s="10">
        <f t="shared" ref="R9:R18" si="15">Q9-L9-K9</f>
        <v>3184452.4800000004</v>
      </c>
      <c r="S9" s="11">
        <f t="shared" ref="S9:S18" si="16">Q9-R9</f>
        <v>18789544.031999998</v>
      </c>
      <c r="T9" s="43">
        <f t="shared" ref="T9:T19" si="17">R9+K9</f>
        <v>3184668.4800000004</v>
      </c>
      <c r="U9" s="43">
        <f t="shared" si="9"/>
        <v>509484.25023999996</v>
      </c>
      <c r="V9" s="11">
        <f t="shared" si="10"/>
        <v>445790.88063999999</v>
      </c>
    </row>
    <row r="10" spans="1:23" x14ac:dyDescent="0.25">
      <c r="A10" s="7">
        <f t="shared" si="3"/>
        <v>5</v>
      </c>
      <c r="B10" s="7" t="s">
        <v>30</v>
      </c>
      <c r="C10" s="18">
        <v>3531583</v>
      </c>
      <c r="D10" s="8">
        <v>2332047.7599999998</v>
      </c>
      <c r="E10" s="8"/>
      <c r="F10" s="9">
        <v>4.72</v>
      </c>
      <c r="G10" s="8">
        <f t="shared" si="4"/>
        <v>11007265.427199999</v>
      </c>
      <c r="H10" s="8">
        <f t="shared" si="0"/>
        <v>0</v>
      </c>
      <c r="I10" s="8">
        <v>0</v>
      </c>
      <c r="J10" s="8">
        <v>10.8</v>
      </c>
      <c r="K10" s="10">
        <f t="shared" si="1"/>
        <v>0</v>
      </c>
      <c r="L10" s="10">
        <f t="shared" si="11"/>
        <v>11007265.427199999</v>
      </c>
      <c r="M10" s="10">
        <f t="shared" ref="M10:M11" si="18">L10</f>
        <v>11007265.427199999</v>
      </c>
      <c r="N10" s="10">
        <v>5.52</v>
      </c>
      <c r="O10" s="10">
        <f>D10*N10</f>
        <v>12872903.635199998</v>
      </c>
      <c r="P10" s="10">
        <f>E10*N10</f>
        <v>0</v>
      </c>
      <c r="Q10" s="10">
        <f t="shared" si="6"/>
        <v>12872903.635199998</v>
      </c>
      <c r="R10" s="10">
        <f t="shared" si="15"/>
        <v>1865638.2079999987</v>
      </c>
      <c r="S10" s="11">
        <f t="shared" si="16"/>
        <v>11007265.427199999</v>
      </c>
      <c r="T10" s="43">
        <f t="shared" si="17"/>
        <v>1865638.2079999987</v>
      </c>
      <c r="U10" s="43">
        <f t="shared" si="9"/>
        <v>327458.07270399993</v>
      </c>
      <c r="V10" s="11">
        <f t="shared" si="10"/>
        <v>290145.30854399997</v>
      </c>
    </row>
    <row r="11" spans="1:23" x14ac:dyDescent="0.25">
      <c r="A11" s="7">
        <f t="shared" si="3"/>
        <v>6</v>
      </c>
      <c r="B11" s="7" t="s">
        <v>31</v>
      </c>
      <c r="C11" s="7">
        <v>2276530.9300000002</v>
      </c>
      <c r="D11" s="8">
        <v>1610155.68</v>
      </c>
      <c r="E11" s="8"/>
      <c r="F11" s="9">
        <v>8.26</v>
      </c>
      <c r="G11" s="8">
        <f>D11*F11</f>
        <v>13299885.9168</v>
      </c>
      <c r="H11" s="8">
        <f t="shared" si="0"/>
        <v>0</v>
      </c>
      <c r="I11" s="8">
        <v>20</v>
      </c>
      <c r="J11" s="8">
        <v>10.8</v>
      </c>
      <c r="K11" s="10">
        <f t="shared" si="1"/>
        <v>216</v>
      </c>
      <c r="L11" s="10">
        <f t="shared" si="11"/>
        <v>13299669.9168</v>
      </c>
      <c r="M11" s="10">
        <f t="shared" si="18"/>
        <v>13299669.9168</v>
      </c>
      <c r="N11" s="10">
        <v>9.66</v>
      </c>
      <c r="O11" s="10">
        <f t="shared" si="5"/>
        <v>15554103.868799999</v>
      </c>
      <c r="P11" s="10">
        <f>E11*N11</f>
        <v>0</v>
      </c>
      <c r="Q11" s="10">
        <f t="shared" si="6"/>
        <v>15553887.868799999</v>
      </c>
      <c r="R11" s="10">
        <f t="shared" si="15"/>
        <v>2254001.9519999996</v>
      </c>
      <c r="S11" s="11">
        <f t="shared" si="16"/>
        <v>13299885.9168</v>
      </c>
      <c r="T11" s="43">
        <f t="shared" si="17"/>
        <v>2254217.9519999996</v>
      </c>
      <c r="U11" s="43">
        <f t="shared" si="9"/>
        <v>381082.077376</v>
      </c>
      <c r="V11" s="11">
        <f t="shared" si="10"/>
        <v>335997.71833599999</v>
      </c>
    </row>
    <row r="12" spans="1:23" s="17" customFormat="1" x14ac:dyDescent="0.25">
      <c r="A12" s="13" t="s">
        <v>32</v>
      </c>
      <c r="B12" s="13"/>
      <c r="C12" s="13"/>
      <c r="D12" s="14">
        <f t="shared" ref="D12:E12" si="19">SUM(D9:D11)</f>
        <v>7923039.0399999991</v>
      </c>
      <c r="E12" s="15">
        <f t="shared" si="19"/>
        <v>0</v>
      </c>
      <c r="F12" s="15"/>
      <c r="G12" s="15">
        <f t="shared" ref="G12:I12" si="20">SUM(G9:G11)</f>
        <v>43096695.375999995</v>
      </c>
      <c r="H12" s="15">
        <f t="shared" si="20"/>
        <v>0</v>
      </c>
      <c r="I12" s="15">
        <f t="shared" si="20"/>
        <v>40</v>
      </c>
      <c r="J12" s="16"/>
      <c r="K12" s="44">
        <f>SUM(K9:K11)</f>
        <v>432</v>
      </c>
      <c r="L12" s="44">
        <f t="shared" ref="L12:M12" si="21">SUM(L9:L11)</f>
        <v>43096263.375999995</v>
      </c>
      <c r="M12" s="44">
        <f t="shared" si="21"/>
        <v>43096263.375999995</v>
      </c>
      <c r="N12" s="45"/>
      <c r="O12" s="44">
        <f t="shared" ref="O12:T12" si="22">SUM(O9:O11)</f>
        <v>50401220.015999995</v>
      </c>
      <c r="P12" s="44">
        <f t="shared" si="22"/>
        <v>0</v>
      </c>
      <c r="Q12" s="44">
        <f t="shared" si="22"/>
        <v>50400788.015999995</v>
      </c>
      <c r="R12" s="44">
        <f t="shared" si="22"/>
        <v>7304092.6399999987</v>
      </c>
      <c r="S12" s="44">
        <f t="shared" si="22"/>
        <v>43096695.375999995</v>
      </c>
      <c r="T12" s="44">
        <f t="shared" si="22"/>
        <v>7304524.6399999987</v>
      </c>
      <c r="U12" s="44">
        <f>SUM(U9:U11)</f>
        <v>1218024.40032</v>
      </c>
      <c r="V12" s="46">
        <f>SUM(V9:V11)</f>
        <v>1071933.9075199999</v>
      </c>
      <c r="W12" s="47"/>
    </row>
    <row r="13" spans="1:23" x14ac:dyDescent="0.25">
      <c r="A13" s="7">
        <f>A11+1</f>
        <v>7</v>
      </c>
      <c r="B13" s="7" t="s">
        <v>33</v>
      </c>
      <c r="C13" s="7">
        <v>1328985</v>
      </c>
      <c r="D13" s="8">
        <v>1328985</v>
      </c>
      <c r="E13" s="8">
        <v>0</v>
      </c>
      <c r="F13" s="9">
        <v>8.26</v>
      </c>
      <c r="G13" s="8">
        <f t="shared" si="4"/>
        <v>10977416.1</v>
      </c>
      <c r="H13" s="8">
        <f t="shared" si="0"/>
        <v>0</v>
      </c>
      <c r="I13" s="8">
        <v>20</v>
      </c>
      <c r="J13" s="8">
        <v>10.8</v>
      </c>
      <c r="K13" s="10">
        <f t="shared" si="1"/>
        <v>216</v>
      </c>
      <c r="L13" s="10">
        <f t="shared" si="11"/>
        <v>10977200.1</v>
      </c>
      <c r="M13" s="10">
        <f>L13</f>
        <v>10977200.1</v>
      </c>
      <c r="N13" s="10">
        <v>9.66</v>
      </c>
      <c r="O13" s="10">
        <f t="shared" si="5"/>
        <v>12837995.1</v>
      </c>
      <c r="P13" s="10">
        <f>E13*N13</f>
        <v>0</v>
      </c>
      <c r="Q13" s="10">
        <f t="shared" si="6"/>
        <v>12837779.1</v>
      </c>
      <c r="R13" s="10">
        <f t="shared" si="15"/>
        <v>1860363</v>
      </c>
      <c r="S13" s="11">
        <f t="shared" si="16"/>
        <v>10977416.1</v>
      </c>
      <c r="T13" s="43">
        <f t="shared" si="17"/>
        <v>1860579</v>
      </c>
      <c r="U13" s="43">
        <f t="shared" si="9"/>
        <v>326759.902</v>
      </c>
      <c r="V13" s="11">
        <f t="shared" si="10"/>
        <v>289548.32199999999</v>
      </c>
    </row>
    <row r="14" spans="1:23" x14ac:dyDescent="0.25">
      <c r="A14" s="7">
        <f t="shared" si="3"/>
        <v>8</v>
      </c>
      <c r="B14" s="7" t="s">
        <v>34</v>
      </c>
      <c r="C14" s="7">
        <v>1358717</v>
      </c>
      <c r="D14" s="8">
        <v>1358717</v>
      </c>
      <c r="E14" s="8">
        <v>0</v>
      </c>
      <c r="F14" s="9">
        <v>8.26</v>
      </c>
      <c r="G14" s="8">
        <f t="shared" si="4"/>
        <v>11223002.42</v>
      </c>
      <c r="H14" s="8">
        <f t="shared" si="0"/>
        <v>0</v>
      </c>
      <c r="I14" s="8">
        <v>10</v>
      </c>
      <c r="J14" s="8">
        <v>10.8</v>
      </c>
      <c r="K14" s="10">
        <f t="shared" si="1"/>
        <v>108</v>
      </c>
      <c r="L14" s="10">
        <f t="shared" si="11"/>
        <v>11222894.42</v>
      </c>
      <c r="M14" s="10">
        <f>L14</f>
        <v>11222894.42</v>
      </c>
      <c r="N14" s="10">
        <v>9.66</v>
      </c>
      <c r="O14" s="10">
        <f t="shared" si="5"/>
        <v>13125206.220000001</v>
      </c>
      <c r="P14" s="10">
        <f t="shared" si="2"/>
        <v>0</v>
      </c>
      <c r="Q14" s="10">
        <f t="shared" si="6"/>
        <v>13125098.220000001</v>
      </c>
      <c r="R14" s="10">
        <f t="shared" si="15"/>
        <v>1902095.8000000007</v>
      </c>
      <c r="S14" s="11">
        <f t="shared" si="16"/>
        <v>11223002.42</v>
      </c>
      <c r="T14" s="43">
        <f t="shared" si="17"/>
        <v>1902203.8000000007</v>
      </c>
      <c r="U14" s="43">
        <f t="shared" si="9"/>
        <v>332504.12440000003</v>
      </c>
      <c r="V14" s="11">
        <f t="shared" si="10"/>
        <v>294460.04839999997</v>
      </c>
    </row>
    <row r="15" spans="1:23" x14ac:dyDescent="0.25">
      <c r="A15" s="19">
        <f t="shared" si="3"/>
        <v>9</v>
      </c>
      <c r="B15" s="19" t="s">
        <v>35</v>
      </c>
      <c r="C15" s="19">
        <v>1600382</v>
      </c>
      <c r="D15" s="20">
        <v>1600382</v>
      </c>
      <c r="E15" s="20">
        <v>0</v>
      </c>
      <c r="F15" s="9">
        <v>8.26</v>
      </c>
      <c r="G15" s="20">
        <f t="shared" si="4"/>
        <v>13219155.32</v>
      </c>
      <c r="H15" s="20">
        <v>0</v>
      </c>
      <c r="I15" s="20">
        <v>30</v>
      </c>
      <c r="J15" s="8">
        <v>10.8</v>
      </c>
      <c r="K15" s="10">
        <f t="shared" si="1"/>
        <v>324</v>
      </c>
      <c r="L15" s="10">
        <f t="shared" si="11"/>
        <v>13218831.32</v>
      </c>
      <c r="M15" s="10">
        <f>L15</f>
        <v>13218831.32</v>
      </c>
      <c r="N15" s="10">
        <v>9.66</v>
      </c>
      <c r="O15" s="48">
        <f t="shared" si="5"/>
        <v>15459690.120000001</v>
      </c>
      <c r="P15" s="48">
        <v>0</v>
      </c>
      <c r="Q15" s="10">
        <f t="shared" si="6"/>
        <v>15459366.120000001</v>
      </c>
      <c r="R15" s="10">
        <f t="shared" si="15"/>
        <v>2240210.8000000007</v>
      </c>
      <c r="S15" s="11">
        <f t="shared" si="16"/>
        <v>13219155.32</v>
      </c>
      <c r="T15" s="43">
        <f t="shared" si="17"/>
        <v>2240534.8000000007</v>
      </c>
      <c r="U15" s="43">
        <f t="shared" si="9"/>
        <v>379193.80240000004</v>
      </c>
      <c r="V15" s="11">
        <f t="shared" si="10"/>
        <v>334383.10639999999</v>
      </c>
    </row>
    <row r="16" spans="1:23" s="17" customFormat="1" x14ac:dyDescent="0.25">
      <c r="A16" s="1" t="s">
        <v>36</v>
      </c>
      <c r="B16" s="1"/>
      <c r="C16" s="1"/>
      <c r="D16" s="14">
        <f t="shared" ref="D16:E16" si="23">SUM(D13:D15)</f>
        <v>4288084</v>
      </c>
      <c r="E16" s="15">
        <f t="shared" si="23"/>
        <v>0</v>
      </c>
      <c r="F16" s="15"/>
      <c r="G16" s="15">
        <f t="shared" ref="G16:I16" si="24">SUM(G13:G15)</f>
        <v>35419573.840000004</v>
      </c>
      <c r="H16" s="15">
        <f t="shared" si="24"/>
        <v>0</v>
      </c>
      <c r="I16" s="15">
        <f t="shared" si="24"/>
        <v>60</v>
      </c>
      <c r="J16" s="16"/>
      <c r="K16" s="44">
        <f>SUM(K13:K15)</f>
        <v>648</v>
      </c>
      <c r="L16" s="44">
        <f t="shared" ref="L16:M16" si="25">SUM(L13:L15)</f>
        <v>35418925.840000004</v>
      </c>
      <c r="M16" s="44">
        <f t="shared" si="25"/>
        <v>35418925.840000004</v>
      </c>
      <c r="N16" s="45"/>
      <c r="O16" s="44">
        <f t="shared" ref="O16:T16" si="26">SUM(O13:O15)</f>
        <v>41422891.439999998</v>
      </c>
      <c r="P16" s="44">
        <f t="shared" si="26"/>
        <v>0</v>
      </c>
      <c r="Q16" s="44">
        <f t="shared" si="26"/>
        <v>41422243.439999998</v>
      </c>
      <c r="R16" s="44">
        <f t="shared" si="26"/>
        <v>6002669.6000000015</v>
      </c>
      <c r="S16" s="44">
        <f t="shared" si="26"/>
        <v>35419573.840000004</v>
      </c>
      <c r="T16" s="44">
        <f t="shared" si="26"/>
        <v>6003317.6000000015</v>
      </c>
      <c r="U16" s="44">
        <f>SUM(U13:U15)</f>
        <v>1038457.8288000001</v>
      </c>
      <c r="V16" s="46">
        <f>SUM(V13:V15)</f>
        <v>918391.47679999983</v>
      </c>
      <c r="W16" s="47"/>
    </row>
    <row r="17" spans="1:23" x14ac:dyDescent="0.25">
      <c r="A17" s="19">
        <f>A15+1</f>
        <v>10</v>
      </c>
      <c r="B17" s="19" t="s">
        <v>37</v>
      </c>
      <c r="C17" s="19">
        <v>2511420</v>
      </c>
      <c r="D17" s="20">
        <v>2369794.56</v>
      </c>
      <c r="E17" s="20"/>
      <c r="F17" s="9">
        <v>4.72</v>
      </c>
      <c r="G17" s="20">
        <f t="shared" si="4"/>
        <v>11185430.3232</v>
      </c>
      <c r="H17" s="20">
        <f t="shared" ref="H17:H19" si="27">E17*F17</f>
        <v>0</v>
      </c>
      <c r="I17" s="20">
        <v>20</v>
      </c>
      <c r="J17" s="8">
        <v>10.8</v>
      </c>
      <c r="K17" s="10">
        <f>I17*J17</f>
        <v>216</v>
      </c>
      <c r="L17" s="10">
        <f>G17-H17-K17</f>
        <v>11185214.3232</v>
      </c>
      <c r="M17" s="48">
        <f>L17</f>
        <v>11185214.3232</v>
      </c>
      <c r="N17" s="10">
        <v>5.52</v>
      </c>
      <c r="O17" s="48">
        <f>D17*N17</f>
        <v>13081265.971199999</v>
      </c>
      <c r="P17" s="48">
        <f>E17*N17</f>
        <v>0</v>
      </c>
      <c r="Q17" s="10">
        <f t="shared" si="6"/>
        <v>13081049.971199999</v>
      </c>
      <c r="R17" s="10">
        <f t="shared" si="15"/>
        <v>1895619.6479999982</v>
      </c>
      <c r="S17" s="11">
        <f t="shared" si="16"/>
        <v>11185430.3232</v>
      </c>
      <c r="T17" s="43">
        <f t="shared" si="17"/>
        <v>1895835.6479999982</v>
      </c>
      <c r="U17" s="43">
        <f>O17*2%+840000/12</f>
        <v>331625.31942399999</v>
      </c>
      <c r="V17" s="11">
        <f>(M17+K17)*2%+840000/12</f>
        <v>293708.60646400001</v>
      </c>
    </row>
    <row r="18" spans="1:23" x14ac:dyDescent="0.25">
      <c r="A18" s="19">
        <f t="shared" si="3"/>
        <v>11</v>
      </c>
      <c r="B18" s="19" t="s">
        <v>38</v>
      </c>
      <c r="C18" s="19">
        <v>4603618.08</v>
      </c>
      <c r="D18" s="20">
        <v>3668808.08</v>
      </c>
      <c r="E18" s="20">
        <v>0</v>
      </c>
      <c r="F18" s="9">
        <v>4.72</v>
      </c>
      <c r="G18" s="20">
        <f>D18*F18</f>
        <v>17316774.137600001</v>
      </c>
      <c r="H18" s="20">
        <f t="shared" si="27"/>
        <v>0</v>
      </c>
      <c r="I18" s="20">
        <v>30</v>
      </c>
      <c r="J18" s="8">
        <v>10.8</v>
      </c>
      <c r="K18" s="10">
        <f t="shared" si="1"/>
        <v>324</v>
      </c>
      <c r="L18" s="10">
        <f>G18-H18-K18</f>
        <v>17316450.137600001</v>
      </c>
      <c r="M18" s="48">
        <f>L18</f>
        <v>17316450.137600001</v>
      </c>
      <c r="N18" s="10">
        <v>5.52</v>
      </c>
      <c r="O18" s="48">
        <f>D18*N18</f>
        <v>20251820.601599999</v>
      </c>
      <c r="P18" s="48">
        <f t="shared" ref="P18" si="28">E18*N18</f>
        <v>0</v>
      </c>
      <c r="Q18" s="10">
        <f t="shared" si="6"/>
        <v>20251496.601599999</v>
      </c>
      <c r="R18" s="10">
        <f t="shared" si="15"/>
        <v>2934722.4639999978</v>
      </c>
      <c r="S18" s="11">
        <f t="shared" si="16"/>
        <v>17316774.137600001</v>
      </c>
      <c r="T18" s="43">
        <f t="shared" si="17"/>
        <v>2935046.4639999978</v>
      </c>
      <c r="U18" s="43">
        <f t="shared" si="9"/>
        <v>475036.41203199996</v>
      </c>
      <c r="V18" s="11">
        <f>(M18+K18)*2%+840000/12</f>
        <v>416335.48275200004</v>
      </c>
    </row>
    <row r="19" spans="1:23" x14ac:dyDescent="0.25">
      <c r="A19" s="19">
        <v>12</v>
      </c>
      <c r="B19" s="19" t="s">
        <v>39</v>
      </c>
      <c r="C19" s="19">
        <v>5877749.1875</v>
      </c>
      <c r="D19" s="20">
        <v>5268387.04</v>
      </c>
      <c r="E19" s="21"/>
      <c r="F19" s="9">
        <v>4.72</v>
      </c>
      <c r="G19" s="20">
        <f t="shared" si="4"/>
        <v>24866786.8288</v>
      </c>
      <c r="H19" s="20">
        <f t="shared" si="27"/>
        <v>0</v>
      </c>
      <c r="I19" s="20">
        <v>40</v>
      </c>
      <c r="J19" s="20">
        <v>10.8</v>
      </c>
      <c r="K19" s="48">
        <f t="shared" si="1"/>
        <v>432</v>
      </c>
      <c r="L19" s="10">
        <f t="shared" si="11"/>
        <v>24866354.8288</v>
      </c>
      <c r="M19" s="48">
        <f>L19</f>
        <v>24866354.8288</v>
      </c>
      <c r="N19" s="10">
        <v>5.52</v>
      </c>
      <c r="O19" s="48">
        <f>D19*N19</f>
        <v>29081496.4608</v>
      </c>
      <c r="P19" s="48">
        <f>E19*N19</f>
        <v>0</v>
      </c>
      <c r="Q19" s="10">
        <f t="shared" si="6"/>
        <v>29081064.4608</v>
      </c>
      <c r="R19" s="10">
        <f>Q19-L19-K19</f>
        <v>4214277.6319999993</v>
      </c>
      <c r="S19" s="11">
        <f>Q19-R19</f>
        <v>24866786.8288</v>
      </c>
      <c r="T19" s="43">
        <f t="shared" si="17"/>
        <v>4214709.6319999993</v>
      </c>
      <c r="U19" s="43">
        <f t="shared" si="9"/>
        <v>651629.92921600002</v>
      </c>
      <c r="V19" s="11">
        <f t="shared" si="10"/>
        <v>567335.736576</v>
      </c>
    </row>
    <row r="20" spans="1:23" s="17" customFormat="1" x14ac:dyDescent="0.25">
      <c r="A20" s="1" t="s">
        <v>40</v>
      </c>
      <c r="B20" s="1"/>
      <c r="C20" s="1"/>
      <c r="D20" s="14">
        <f t="shared" ref="D20" si="29">SUM(D17:D19)</f>
        <v>11306989.68</v>
      </c>
      <c r="E20" s="15">
        <f>SUM(E17:E19)</f>
        <v>0</v>
      </c>
      <c r="F20" s="15"/>
      <c r="G20" s="15">
        <f t="shared" ref="G20:I20" si="30">SUM(G17:G19)</f>
        <v>53368991.2896</v>
      </c>
      <c r="H20" s="15">
        <f t="shared" si="30"/>
        <v>0</v>
      </c>
      <c r="I20" s="15">
        <f t="shared" si="30"/>
        <v>90</v>
      </c>
      <c r="J20" s="16"/>
      <c r="K20" s="44">
        <f t="shared" ref="K20:M20" si="31">SUM(K17:K19)</f>
        <v>972</v>
      </c>
      <c r="L20" s="44">
        <f t="shared" si="31"/>
        <v>53368019.2896</v>
      </c>
      <c r="M20" s="44">
        <f t="shared" si="31"/>
        <v>53368019.2896</v>
      </c>
      <c r="N20" s="45"/>
      <c r="O20" s="44">
        <f t="shared" ref="O20:T20" si="32">SUM(O17:O19)</f>
        <v>62414583.033599995</v>
      </c>
      <c r="P20" s="44">
        <f t="shared" si="32"/>
        <v>0</v>
      </c>
      <c r="Q20" s="44">
        <f t="shared" si="32"/>
        <v>62413611.033599995</v>
      </c>
      <c r="R20" s="44">
        <f t="shared" si="32"/>
        <v>9044619.7439999953</v>
      </c>
      <c r="S20" s="44">
        <f t="shared" si="32"/>
        <v>53368991.2896</v>
      </c>
      <c r="T20" s="44">
        <f t="shared" si="32"/>
        <v>9045591.7439999953</v>
      </c>
      <c r="U20" s="44">
        <f>SUM(U17:U19)</f>
        <v>1458291.6606719999</v>
      </c>
      <c r="V20" s="46">
        <f>SUM(V17:V19)</f>
        <v>1277379.8257920002</v>
      </c>
      <c r="W20" s="47"/>
    </row>
    <row r="21" spans="1:23" s="17" customFormat="1" x14ac:dyDescent="0.25">
      <c r="A21" s="102" t="s">
        <v>41</v>
      </c>
      <c r="B21" s="102"/>
      <c r="C21" s="22"/>
      <c r="D21" s="14">
        <f t="shared" ref="D21:E21" si="33">D8+D12+D16+D20</f>
        <v>36567433.759999998</v>
      </c>
      <c r="E21" s="15">
        <f t="shared" si="33"/>
        <v>1564059.2000000002</v>
      </c>
      <c r="F21" s="15"/>
      <c r="G21" s="15">
        <f t="shared" ref="G21:I21" si="34">G8+G12+G16+G20</f>
        <v>193478055.81440002</v>
      </c>
      <c r="H21" s="15">
        <f>H8+H12+H16+H20</f>
        <v>7382359.4240000006</v>
      </c>
      <c r="I21" s="15">
        <f t="shared" si="34"/>
        <v>340</v>
      </c>
      <c r="J21" s="15"/>
      <c r="K21" s="44">
        <f>K8+K12+K16+K20</f>
        <v>3672</v>
      </c>
      <c r="L21" s="44">
        <f t="shared" ref="L21:S21" si="35">L8+L12+L16+L20</f>
        <v>186092024.39039999</v>
      </c>
      <c r="M21" s="44">
        <f t="shared" si="35"/>
        <v>186092024.39039999</v>
      </c>
      <c r="N21" s="44"/>
      <c r="O21" s="44">
        <f>O8+O12+O16+O20</f>
        <v>226270946.6304</v>
      </c>
      <c r="P21" s="44">
        <f>P8+P12+P16+P20</f>
        <v>8633606.784</v>
      </c>
      <c r="Q21" s="44">
        <f t="shared" si="35"/>
        <v>217633667.84639999</v>
      </c>
      <c r="R21" s="44">
        <f t="shared" si="35"/>
        <v>31537971.455999993</v>
      </c>
      <c r="S21" s="44">
        <f t="shared" si="35"/>
        <v>186095696.39039999</v>
      </c>
      <c r="T21" s="44">
        <f>T8+T12+T16+T20</f>
        <v>31541643.455999993</v>
      </c>
      <c r="U21" s="44">
        <f>U8+U12+U16+U20</f>
        <v>5365418.932608</v>
      </c>
      <c r="V21" s="46">
        <f>V8+V12+V16+V20</f>
        <v>4561913.9278079998</v>
      </c>
      <c r="W21" s="47"/>
    </row>
    <row r="22" spans="1:23" s="17" customFormat="1" x14ac:dyDescent="0.25">
      <c r="A22" s="23"/>
      <c r="B22" s="23"/>
      <c r="C22" s="23"/>
      <c r="D22" s="24"/>
      <c r="E22" s="25"/>
      <c r="F22" s="25"/>
      <c r="G22" s="25"/>
      <c r="H22" s="25"/>
      <c r="I22" s="25"/>
      <c r="J22" s="25"/>
      <c r="K22" s="49"/>
      <c r="L22" s="49"/>
      <c r="M22" s="49"/>
      <c r="N22" s="49"/>
      <c r="O22" s="49">
        <f>O21-H30</f>
        <v>226228102.23840001</v>
      </c>
      <c r="P22" s="49"/>
      <c r="Q22" s="49"/>
      <c r="R22" s="49"/>
      <c r="S22" s="49"/>
      <c r="T22" s="49"/>
      <c r="U22" s="49"/>
      <c r="V22" s="50"/>
      <c r="W22" s="47"/>
    </row>
    <row r="23" spans="1:23" s="17" customFormat="1" x14ac:dyDescent="0.25">
      <c r="A23" s="23"/>
      <c r="B23" s="23"/>
      <c r="C23" s="23"/>
      <c r="D23" s="24"/>
      <c r="E23" s="25"/>
      <c r="F23" s="25"/>
      <c r="G23" s="25"/>
      <c r="H23" s="25"/>
      <c r="I23" s="25"/>
      <c r="J23" s="25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50"/>
      <c r="W23" s="47"/>
    </row>
    <row r="24" spans="1:23" s="17" customFormat="1" ht="21" x14ac:dyDescent="0.35">
      <c r="A24" s="89" t="s">
        <v>0</v>
      </c>
      <c r="B24" s="89"/>
      <c r="C24" s="89"/>
      <c r="D24" s="89"/>
      <c r="E24" s="89"/>
      <c r="F24" s="89"/>
      <c r="G24" s="89"/>
      <c r="H24" s="89"/>
      <c r="I24" s="26"/>
      <c r="J24" s="26"/>
      <c r="K24" s="51"/>
      <c r="L24" s="51"/>
      <c r="M24" s="51"/>
      <c r="N24" s="51"/>
      <c r="O24" s="52"/>
      <c r="P24" s="51"/>
      <c r="Q24" s="51"/>
      <c r="R24" s="51"/>
      <c r="S24" s="51"/>
      <c r="T24" s="51"/>
      <c r="U24" s="51"/>
      <c r="V24" s="51"/>
      <c r="W24" s="47"/>
    </row>
    <row r="25" spans="1:23" x14ac:dyDescent="0.25">
      <c r="A25" t="s">
        <v>42</v>
      </c>
    </row>
    <row r="26" spans="1:23" x14ac:dyDescent="0.25">
      <c r="T26" s="54"/>
    </row>
    <row r="27" spans="1:23" ht="39.75" customHeight="1" x14ac:dyDescent="0.25">
      <c r="A27" s="28" t="s">
        <v>43</v>
      </c>
      <c r="B27" s="28" t="s">
        <v>4</v>
      </c>
      <c r="C27" s="29" t="s">
        <v>44</v>
      </c>
      <c r="D27" s="30" t="s">
        <v>16</v>
      </c>
      <c r="E27" s="31" t="s">
        <v>45</v>
      </c>
      <c r="F27" s="32" t="s">
        <v>8</v>
      </c>
      <c r="G27" s="28" t="s">
        <v>46</v>
      </c>
      <c r="H27" s="31" t="s">
        <v>47</v>
      </c>
      <c r="T27" s="54"/>
    </row>
    <row r="28" spans="1:23" x14ac:dyDescent="0.25">
      <c r="A28" s="33">
        <v>1</v>
      </c>
      <c r="B28" s="33" t="s">
        <v>30</v>
      </c>
      <c r="C28" s="12">
        <f>22791.68</f>
        <v>22791.68</v>
      </c>
      <c r="D28" s="12">
        <v>5.52</v>
      </c>
      <c r="E28" s="34">
        <f>C28*D28</f>
        <v>125810.07359999999</v>
      </c>
      <c r="F28" s="35">
        <v>4.72</v>
      </c>
      <c r="G28" s="12">
        <f>C28*F28</f>
        <v>107576.72959999999</v>
      </c>
      <c r="H28" s="12">
        <f>E28-G28</f>
        <v>18233.343999999997</v>
      </c>
    </row>
    <row r="29" spans="1:23" x14ac:dyDescent="0.25">
      <c r="A29" s="33">
        <v>2</v>
      </c>
      <c r="B29" s="33" t="s">
        <v>31</v>
      </c>
      <c r="C29" s="12">
        <f>17579.32</f>
        <v>17579.32</v>
      </c>
      <c r="D29" s="12">
        <v>9.66</v>
      </c>
      <c r="E29" s="34">
        <f>C29*D29</f>
        <v>169816.23120000001</v>
      </c>
      <c r="F29" s="35">
        <v>8.26</v>
      </c>
      <c r="G29" s="12">
        <f>C29*F29</f>
        <v>145205.1832</v>
      </c>
      <c r="H29" s="12">
        <f>E29-G29</f>
        <v>24611.04800000001</v>
      </c>
    </row>
    <row r="30" spans="1:23" s="17" customFormat="1" x14ac:dyDescent="0.25">
      <c r="A30" s="96" t="s">
        <v>48</v>
      </c>
      <c r="B30" s="97"/>
      <c r="C30" s="15">
        <f>SUM(C28:C29)</f>
        <v>40371</v>
      </c>
      <c r="D30" s="14"/>
      <c r="E30" s="15">
        <f>SUM(E28:E29)</f>
        <v>295626.30479999998</v>
      </c>
      <c r="F30" s="36"/>
      <c r="G30" s="14">
        <f>SUM(G28:G29)</f>
        <v>252781.91279999999</v>
      </c>
      <c r="H30" s="14">
        <f>SUM(H28:H29)</f>
        <v>42844.392000000007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55"/>
      <c r="W30" s="47"/>
    </row>
    <row r="31" spans="1:23" x14ac:dyDescent="0.25">
      <c r="H31" s="27"/>
      <c r="I31" s="27"/>
      <c r="J31" s="27"/>
    </row>
    <row r="33" spans="1:1" x14ac:dyDescent="0.25">
      <c r="A33" t="s">
        <v>91</v>
      </c>
    </row>
  </sheetData>
  <mergeCells count="6">
    <mergeCell ref="A30:B30"/>
    <mergeCell ref="A1:V1"/>
    <mergeCell ref="A2:V2"/>
    <mergeCell ref="A3:V3"/>
    <mergeCell ref="A21:B21"/>
    <mergeCell ref="A24:H24"/>
  </mergeCells>
  <pageMargins left="0.2" right="0.2" top="0.99" bottom="0.75" header="0.3" footer="0.3"/>
  <pageSetup scale="4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76-77.77-78</vt:lpstr>
      <vt:lpstr>77.78</vt:lpstr>
      <vt:lpstr>76.77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2021-05-09T14:55:41Z</dcterms:modified>
</cp:coreProperties>
</file>